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Avantika Infotech\COGS\"/>
    </mc:Choice>
  </mc:AlternateContent>
  <xr:revisionPtr revIDLastSave="0" documentId="13_ncr:1_{EFD02EA5-06F2-4FCF-A3FE-83CD2CEF89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ster 2025" sheetId="11" r:id="rId1"/>
    <sheet name="Sheet1" sheetId="6" state="hidden" r:id="rId2"/>
  </sheets>
  <definedNames>
    <definedName name="_xlnm._FilterDatabase" localSheetId="0" hidden="1">'Master 2025'!$D$1:$S$1000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1" l="1"/>
  <c r="I3" i="11"/>
  <c r="M3" i="11"/>
  <c r="N3" i="11"/>
  <c r="O4" i="11"/>
  <c r="P4" i="11"/>
  <c r="S4" i="11"/>
  <c r="I5" i="11"/>
  <c r="P5" i="11" s="1"/>
  <c r="O5" i="11"/>
  <c r="O6" i="11"/>
  <c r="P6" i="11"/>
  <c r="S6" i="11"/>
  <c r="I7" i="11"/>
  <c r="P7" i="11" s="1"/>
  <c r="O7" i="11"/>
  <c r="O8" i="11"/>
  <c r="P8" i="11"/>
  <c r="R8" i="11"/>
  <c r="S8" i="11" s="1"/>
  <c r="M9" i="11"/>
  <c r="O9" i="11" s="1"/>
  <c r="R9" i="11"/>
  <c r="S9" i="11" s="1"/>
  <c r="M10" i="11"/>
  <c r="P10" i="11" s="1"/>
  <c r="R10" i="11"/>
  <c r="S10" i="11" s="1"/>
  <c r="O11" i="11"/>
  <c r="P11" i="11"/>
  <c r="R11" i="11"/>
  <c r="S11" i="11" s="1"/>
  <c r="O12" i="11"/>
  <c r="P12" i="11"/>
  <c r="S12" i="11"/>
  <c r="O13" i="11"/>
  <c r="P13" i="11"/>
  <c r="S13" i="11"/>
  <c r="O14" i="11"/>
  <c r="P14" i="11"/>
  <c r="S14" i="11"/>
  <c r="I15" i="11"/>
  <c r="O15" i="11"/>
  <c r="O16" i="11"/>
  <c r="P16" i="11"/>
  <c r="S16" i="11"/>
  <c r="N17" i="11"/>
  <c r="P17" i="11" s="1"/>
  <c r="S17" i="11"/>
  <c r="O18" i="11"/>
  <c r="P18" i="11"/>
  <c r="S18" i="11"/>
  <c r="O19" i="11"/>
  <c r="P19" i="11"/>
  <c r="S19" i="11"/>
  <c r="O20" i="11"/>
  <c r="P20" i="11"/>
  <c r="S20" i="11"/>
  <c r="O21" i="11"/>
  <c r="P21" i="11"/>
  <c r="S21" i="11"/>
  <c r="O22" i="11"/>
  <c r="P22" i="11"/>
  <c r="S22" i="11"/>
  <c r="O23" i="11"/>
  <c r="P23" i="11"/>
  <c r="R23" i="11"/>
  <c r="S23" i="11" s="1"/>
  <c r="O24" i="11"/>
  <c r="P24" i="11"/>
  <c r="S24" i="11"/>
  <c r="M25" i="11"/>
  <c r="P25" i="11" s="1"/>
  <c r="S25" i="11"/>
  <c r="O26" i="11"/>
  <c r="P26" i="11"/>
  <c r="R26" i="11"/>
  <c r="S26" i="11" s="1"/>
  <c r="O27" i="11"/>
  <c r="P27" i="11"/>
  <c r="R27" i="11"/>
  <c r="S27" i="11" s="1"/>
  <c r="M28" i="11"/>
  <c r="P28" i="11" s="1"/>
  <c r="S28" i="11"/>
  <c r="O29" i="11"/>
  <c r="P29" i="11"/>
  <c r="R29" i="11"/>
  <c r="S29" i="11" s="1"/>
  <c r="O30" i="11"/>
  <c r="P30" i="11"/>
  <c r="R30" i="11"/>
  <c r="S30" i="11" s="1"/>
  <c r="O31" i="11"/>
  <c r="P31" i="11"/>
  <c r="R31" i="11"/>
  <c r="S31" i="11" s="1"/>
  <c r="M32" i="11"/>
  <c r="P32" i="11" s="1"/>
  <c r="R32" i="11"/>
  <c r="S32" i="11" s="1"/>
  <c r="I33" i="11"/>
  <c r="P33" i="11" s="1"/>
  <c r="O33" i="11"/>
  <c r="R33" i="11"/>
  <c r="I34" i="11"/>
  <c r="S34" i="11" s="1"/>
  <c r="M34" i="11"/>
  <c r="N34" i="11"/>
  <c r="M35" i="11"/>
  <c r="O35" i="11" s="1"/>
  <c r="S35" i="11"/>
  <c r="M36" i="11"/>
  <c r="O36" i="11" s="1"/>
  <c r="S36" i="11"/>
  <c r="M37" i="11"/>
  <c r="N37" i="11"/>
  <c r="S37" i="11"/>
  <c r="M38" i="11"/>
  <c r="P38" i="11" s="1"/>
  <c r="S38" i="11"/>
  <c r="M39" i="11"/>
  <c r="O39" i="11" s="1"/>
  <c r="R39" i="11"/>
  <c r="S39" i="11" s="1"/>
  <c r="O40" i="11"/>
  <c r="P40" i="11"/>
  <c r="S40" i="11"/>
  <c r="O41" i="11"/>
  <c r="P41" i="11"/>
  <c r="S41" i="11"/>
  <c r="M42" i="11"/>
  <c r="O42" i="11" s="1"/>
  <c r="R42" i="11"/>
  <c r="S42" i="11" s="1"/>
  <c r="O43" i="11"/>
  <c r="P43" i="11"/>
  <c r="S43" i="11"/>
  <c r="M44" i="11"/>
  <c r="O44" i="11" s="1"/>
  <c r="S44" i="11"/>
  <c r="O45" i="11"/>
  <c r="P45" i="11"/>
  <c r="S45" i="11"/>
  <c r="M46" i="11"/>
  <c r="P46" i="11" s="1"/>
  <c r="S46" i="11"/>
  <c r="O47" i="11"/>
  <c r="P47" i="11"/>
  <c r="S47" i="11"/>
  <c r="O48" i="11"/>
  <c r="P48" i="11"/>
  <c r="S48" i="11"/>
  <c r="M49" i="11"/>
  <c r="P49" i="11" s="1"/>
  <c r="S49" i="11"/>
  <c r="O50" i="11"/>
  <c r="P50" i="11"/>
  <c r="S50" i="11"/>
  <c r="M51" i="11"/>
  <c r="O51" i="11" s="1"/>
  <c r="S51" i="11"/>
  <c r="O52" i="11"/>
  <c r="P52" i="11"/>
  <c r="S52" i="11"/>
  <c r="M53" i="11"/>
  <c r="O53" i="11" s="1"/>
  <c r="S53" i="11"/>
  <c r="M54" i="11"/>
  <c r="O54" i="11" s="1"/>
  <c r="R54" i="11"/>
  <c r="S54" i="11" s="1"/>
  <c r="O55" i="11"/>
  <c r="P55" i="11"/>
  <c r="S55" i="11"/>
  <c r="U55" i="11" s="1"/>
  <c r="O56" i="11"/>
  <c r="P56" i="11"/>
  <c r="S56" i="11"/>
  <c r="O57" i="11"/>
  <c r="P57" i="11"/>
  <c r="R57" i="11"/>
  <c r="S57" i="11" s="1"/>
  <c r="M58" i="11"/>
  <c r="O58" i="11" s="1"/>
  <c r="R58" i="11"/>
  <c r="S58" i="11" s="1"/>
  <c r="M59" i="11"/>
  <c r="P59" i="11" s="1"/>
  <c r="R59" i="11"/>
  <c r="S59" i="11" s="1"/>
  <c r="M60" i="11"/>
  <c r="P60" i="11" s="1"/>
  <c r="R60" i="11"/>
  <c r="S60" i="11" s="1"/>
  <c r="M61" i="11"/>
  <c r="P61" i="11" s="1"/>
  <c r="R61" i="11"/>
  <c r="S61" i="11" s="1"/>
  <c r="O62" i="11"/>
  <c r="P62" i="11"/>
  <c r="R62" i="11"/>
  <c r="S62" i="11" s="1"/>
  <c r="O63" i="11"/>
  <c r="P63" i="11"/>
  <c r="R63" i="11"/>
  <c r="S63" i="11" s="1"/>
  <c r="M64" i="11"/>
  <c r="O64" i="11" s="1"/>
  <c r="R64" i="11"/>
  <c r="S64" i="11" s="1"/>
  <c r="I65" i="11"/>
  <c r="S65" i="11" s="1"/>
  <c r="M65" i="11"/>
  <c r="O65" i="11" s="1"/>
  <c r="M66" i="11"/>
  <c r="O66" i="11" s="1"/>
  <c r="S66" i="11"/>
  <c r="I67" i="11"/>
  <c r="S67" i="11" s="1"/>
  <c r="M67" i="11"/>
  <c r="O67" i="11" s="1"/>
  <c r="M68" i="11"/>
  <c r="P68" i="11" s="1"/>
  <c r="S68" i="11"/>
  <c r="I69" i="11"/>
  <c r="S69" i="11" s="1"/>
  <c r="M69" i="11"/>
  <c r="O69" i="11" s="1"/>
  <c r="M70" i="11"/>
  <c r="O70" i="11" s="1"/>
  <c r="R70" i="11"/>
  <c r="S70" i="11" s="1"/>
  <c r="M71" i="11"/>
  <c r="S71" i="11"/>
  <c r="M72" i="11"/>
  <c r="O72" i="11" s="1"/>
  <c r="S72" i="11"/>
  <c r="M73" i="11"/>
  <c r="R73" i="11"/>
  <c r="S73" i="11" s="1"/>
  <c r="M74" i="11"/>
  <c r="O74" i="11" s="1"/>
  <c r="S74" i="11"/>
  <c r="I75" i="11"/>
  <c r="M75" i="11"/>
  <c r="O75" i="11" s="1"/>
  <c r="M76" i="11"/>
  <c r="O76" i="11" s="1"/>
  <c r="S76" i="11"/>
  <c r="M77" i="11"/>
  <c r="N77" i="11"/>
  <c r="S77" i="11"/>
  <c r="M78" i="11"/>
  <c r="O78" i="11" s="1"/>
  <c r="S78" i="11"/>
  <c r="M79" i="11"/>
  <c r="O79" i="11" s="1"/>
  <c r="S79" i="11"/>
  <c r="M80" i="11"/>
  <c r="O80" i="11" s="1"/>
  <c r="S80" i="11"/>
  <c r="M81" i="11"/>
  <c r="O81" i="11" s="1"/>
  <c r="S81" i="11"/>
  <c r="M82" i="11"/>
  <c r="O82" i="11" s="1"/>
  <c r="S82" i="11"/>
  <c r="M83" i="11"/>
  <c r="O83" i="11" s="1"/>
  <c r="S83" i="11"/>
  <c r="M84" i="11"/>
  <c r="O84" i="11" s="1"/>
  <c r="S84" i="11"/>
  <c r="M85" i="11"/>
  <c r="O85" i="11" s="1"/>
  <c r="R85" i="11"/>
  <c r="S85" i="11" s="1"/>
  <c r="M86" i="11"/>
  <c r="O86" i="11" s="1"/>
  <c r="S86" i="11"/>
  <c r="M87" i="11"/>
  <c r="O87" i="11" s="1"/>
  <c r="S87" i="11"/>
  <c r="M88" i="11"/>
  <c r="O88" i="11" s="1"/>
  <c r="R88" i="11"/>
  <c r="S88" i="11" s="1"/>
  <c r="M89" i="11"/>
  <c r="O89" i="11" s="1"/>
  <c r="R89" i="11"/>
  <c r="S89" i="11" s="1"/>
  <c r="M90" i="11"/>
  <c r="S90" i="11"/>
  <c r="M91" i="11"/>
  <c r="P91" i="11" s="1"/>
  <c r="R91" i="11"/>
  <c r="S91" i="11" s="1"/>
  <c r="M92" i="11"/>
  <c r="P92" i="11" s="1"/>
  <c r="R92" i="11"/>
  <c r="S92" i="11" s="1"/>
  <c r="M93" i="11"/>
  <c r="O93" i="11" s="1"/>
  <c r="R93" i="11"/>
  <c r="S93" i="11" s="1"/>
  <c r="M94" i="11"/>
  <c r="O94" i="11" s="1"/>
  <c r="R94" i="11"/>
  <c r="S94" i="11" s="1"/>
  <c r="I95" i="11"/>
  <c r="M95" i="11"/>
  <c r="O95" i="11" s="1"/>
  <c r="R95" i="11"/>
  <c r="O96" i="11"/>
  <c r="P96" i="11"/>
  <c r="S96" i="11"/>
  <c r="M97" i="11"/>
  <c r="P97" i="11" s="1"/>
  <c r="S97" i="11"/>
  <c r="I98" i="11"/>
  <c r="O98" i="11"/>
  <c r="O99" i="11"/>
  <c r="P99" i="11"/>
  <c r="S99" i="11"/>
  <c r="O100" i="11"/>
  <c r="P100" i="11"/>
  <c r="S100" i="11"/>
  <c r="M101" i="11"/>
  <c r="O101" i="11" s="1"/>
  <c r="R101" i="11"/>
  <c r="S101" i="11" s="1"/>
  <c r="I102" i="11"/>
  <c r="S102" i="11" s="1"/>
  <c r="O102" i="11"/>
  <c r="O103" i="11"/>
  <c r="P103" i="11"/>
  <c r="S103" i="11"/>
  <c r="M104" i="11"/>
  <c r="O104" i="11" s="1"/>
  <c r="R104" i="11"/>
  <c r="S104" i="11" s="1"/>
  <c r="M105" i="11"/>
  <c r="O105" i="11" s="1"/>
  <c r="S105" i="11"/>
  <c r="M106" i="11"/>
  <c r="O106" i="11" s="1"/>
  <c r="S106" i="11"/>
  <c r="O107" i="11"/>
  <c r="P107" i="11"/>
  <c r="S107" i="11"/>
  <c r="I108" i="11"/>
  <c r="O108" i="11"/>
  <c r="O109" i="11"/>
  <c r="P109" i="11"/>
  <c r="S109" i="11"/>
  <c r="O110" i="11"/>
  <c r="P110" i="11"/>
  <c r="S110" i="11"/>
  <c r="O111" i="11"/>
  <c r="P111" i="11"/>
  <c r="S111" i="11"/>
  <c r="O112" i="11"/>
  <c r="P112" i="11"/>
  <c r="S112" i="11"/>
  <c r="O113" i="11"/>
  <c r="P113" i="11"/>
  <c r="S113" i="11"/>
  <c r="M114" i="11"/>
  <c r="O114" i="11" s="1"/>
  <c r="S114" i="11"/>
  <c r="O115" i="11"/>
  <c r="P115" i="11"/>
  <c r="S115" i="11"/>
  <c r="M116" i="11"/>
  <c r="R116" i="11"/>
  <c r="S116" i="11" s="1"/>
  <c r="M117" i="11"/>
  <c r="O117" i="11" s="1"/>
  <c r="S117" i="11"/>
  <c r="M118" i="11"/>
  <c r="O118" i="11" s="1"/>
  <c r="S118" i="11"/>
  <c r="M119" i="11"/>
  <c r="O119" i="11" s="1"/>
  <c r="R119" i="11"/>
  <c r="S119" i="11" s="1"/>
  <c r="M120" i="11"/>
  <c r="N120" i="11"/>
  <c r="R120" i="11"/>
  <c r="S120" i="11" s="1"/>
  <c r="M121" i="11"/>
  <c r="N121" i="11"/>
  <c r="S121" i="11"/>
  <c r="M122" i="11"/>
  <c r="P122" i="11" s="1"/>
  <c r="R122" i="11"/>
  <c r="S122" i="11" s="1"/>
  <c r="M123" i="11"/>
  <c r="R123" i="11"/>
  <c r="S123" i="11" s="1"/>
  <c r="O124" i="11"/>
  <c r="P124" i="11"/>
  <c r="R124" i="11"/>
  <c r="S124" i="11" s="1"/>
  <c r="O125" i="11"/>
  <c r="P125" i="11"/>
  <c r="R125" i="11"/>
  <c r="S125" i="11" s="1"/>
  <c r="M126" i="11"/>
  <c r="P126" i="11" s="1"/>
  <c r="R126" i="11"/>
  <c r="S126" i="11" s="1"/>
  <c r="M127" i="11"/>
  <c r="P127" i="11" s="1"/>
  <c r="S127" i="11"/>
  <c r="M128" i="11"/>
  <c r="O128" i="11" s="1"/>
  <c r="R128" i="11"/>
  <c r="S128" i="11" s="1"/>
  <c r="M129" i="11"/>
  <c r="S129" i="11"/>
  <c r="M130" i="11"/>
  <c r="N130" i="11"/>
  <c r="S130" i="11"/>
  <c r="M131" i="11"/>
  <c r="O131" i="11" s="1"/>
  <c r="S131" i="11"/>
  <c r="M132" i="11"/>
  <c r="O132" i="11" s="1"/>
  <c r="R132" i="11"/>
  <c r="S132" i="11" s="1"/>
  <c r="M133" i="11"/>
  <c r="P133" i="11" s="1"/>
  <c r="S133" i="11"/>
  <c r="M134" i="11"/>
  <c r="P134" i="11" s="1"/>
  <c r="S134" i="11"/>
  <c r="M135" i="11"/>
  <c r="P135" i="11" s="1"/>
  <c r="R135" i="11"/>
  <c r="S135" i="11" s="1"/>
  <c r="M136" i="11"/>
  <c r="S136" i="11"/>
  <c r="M137" i="11"/>
  <c r="S137" i="11"/>
  <c r="M138" i="11"/>
  <c r="S138" i="11"/>
  <c r="M139" i="11"/>
  <c r="S139" i="11"/>
  <c r="M140" i="11"/>
  <c r="S140" i="11"/>
  <c r="M141" i="11"/>
  <c r="S141" i="11"/>
  <c r="M142" i="11"/>
  <c r="S142" i="11"/>
  <c r="M143" i="11"/>
  <c r="S143" i="11"/>
  <c r="M144" i="11"/>
  <c r="S144" i="11"/>
  <c r="M145" i="11"/>
  <c r="S145" i="11"/>
  <c r="M146" i="11"/>
  <c r="S146" i="11"/>
  <c r="M147" i="11"/>
  <c r="N147" i="11"/>
  <c r="R147" i="11"/>
  <c r="S147" i="11" s="1"/>
  <c r="M148" i="11"/>
  <c r="P148" i="11" s="1"/>
  <c r="S148" i="11"/>
  <c r="M149" i="11"/>
  <c r="P149" i="11" s="1"/>
  <c r="S149" i="11"/>
  <c r="M150" i="11"/>
  <c r="N150" i="11"/>
  <c r="R150" i="11"/>
  <c r="S150" i="11" s="1"/>
  <c r="M151" i="11"/>
  <c r="O151" i="11" s="1"/>
  <c r="R151" i="11"/>
  <c r="S151" i="11" s="1"/>
  <c r="M152" i="11"/>
  <c r="P152" i="11" s="1"/>
  <c r="S152" i="11"/>
  <c r="M153" i="11"/>
  <c r="O153" i="11" s="1"/>
  <c r="R153" i="11"/>
  <c r="S153" i="11" s="1"/>
  <c r="M154" i="11"/>
  <c r="R154" i="11"/>
  <c r="S154" i="11" s="1"/>
  <c r="M155" i="11"/>
  <c r="O155" i="11" s="1"/>
  <c r="R155" i="11"/>
  <c r="S155" i="11" s="1"/>
  <c r="M156" i="11"/>
  <c r="P156" i="11" s="1"/>
  <c r="R156" i="11"/>
  <c r="S156" i="11" s="1"/>
  <c r="O157" i="11"/>
  <c r="P157" i="11"/>
  <c r="R157" i="11"/>
  <c r="S157" i="11" s="1"/>
  <c r="M158" i="11"/>
  <c r="O158" i="11" s="1"/>
  <c r="S158" i="11"/>
  <c r="M159" i="11"/>
  <c r="R159" i="11"/>
  <c r="S159" i="11" s="1"/>
  <c r="M160" i="11"/>
  <c r="O160" i="11" s="1"/>
  <c r="S160" i="11"/>
  <c r="M161" i="11"/>
  <c r="O161" i="11" s="1"/>
  <c r="S161" i="11"/>
  <c r="O162" i="11"/>
  <c r="P162" i="11"/>
  <c r="S162" i="11"/>
  <c r="O163" i="11"/>
  <c r="P163" i="11"/>
  <c r="R163" i="11"/>
  <c r="S163" i="11" s="1"/>
  <c r="O164" i="11"/>
  <c r="P164" i="11"/>
  <c r="S164" i="11"/>
  <c r="M165" i="11"/>
  <c r="P165" i="11" s="1"/>
  <c r="S165" i="11"/>
  <c r="O166" i="11"/>
  <c r="P166" i="11"/>
  <c r="R166" i="11"/>
  <c r="S166" i="11" s="1"/>
  <c r="M167" i="11"/>
  <c r="P167" i="11" s="1"/>
  <c r="S167" i="11"/>
  <c r="M168" i="11"/>
  <c r="P168" i="11" s="1"/>
  <c r="S168" i="11"/>
  <c r="M169" i="11"/>
  <c r="P169" i="11" s="1"/>
  <c r="S169" i="11"/>
  <c r="M170" i="11"/>
  <c r="P170" i="11" s="1"/>
  <c r="S170" i="11"/>
  <c r="O171" i="11"/>
  <c r="P171" i="11"/>
  <c r="S171" i="11"/>
  <c r="O172" i="11"/>
  <c r="P172" i="11"/>
  <c r="S172" i="11"/>
  <c r="O173" i="11"/>
  <c r="P173" i="11"/>
  <c r="S173" i="11"/>
  <c r="O174" i="11"/>
  <c r="P174" i="11"/>
  <c r="S174" i="11"/>
  <c r="O175" i="11"/>
  <c r="P175" i="11"/>
  <c r="S175" i="11"/>
  <c r="M176" i="11"/>
  <c r="S176" i="11"/>
  <c r="M177" i="11"/>
  <c r="O177" i="11" s="1"/>
  <c r="S177" i="11"/>
  <c r="M178" i="11"/>
  <c r="R178" i="11"/>
  <c r="S178" i="11" s="1"/>
  <c r="O179" i="11"/>
  <c r="P179" i="11"/>
  <c r="S179" i="11"/>
  <c r="O180" i="11"/>
  <c r="P180" i="11"/>
  <c r="S180" i="11"/>
  <c r="M181" i="11"/>
  <c r="P181" i="11" s="1"/>
  <c r="R181" i="11"/>
  <c r="S181" i="11" s="1"/>
  <c r="M182" i="11"/>
  <c r="R182" i="11"/>
  <c r="S182" i="11" s="1"/>
  <c r="M183" i="11"/>
  <c r="O183" i="11" s="1"/>
  <c r="S183" i="11"/>
  <c r="M184" i="11"/>
  <c r="O184" i="11" s="1"/>
  <c r="S184" i="11"/>
  <c r="M185" i="11"/>
  <c r="O185" i="11" s="1"/>
  <c r="R185" i="11"/>
  <c r="S185" i="11" s="1"/>
  <c r="M186" i="11"/>
  <c r="P186" i="11" s="1"/>
  <c r="R186" i="11"/>
  <c r="S186" i="11" s="1"/>
  <c r="M187" i="11"/>
  <c r="R187" i="11"/>
  <c r="S187" i="11" s="1"/>
  <c r="M188" i="11"/>
  <c r="O188" i="11" s="1"/>
  <c r="R188" i="11"/>
  <c r="S188" i="11" s="1"/>
  <c r="M189" i="11"/>
  <c r="P189" i="11" s="1"/>
  <c r="S189" i="11"/>
  <c r="M190" i="11"/>
  <c r="P190" i="11" s="1"/>
  <c r="R190" i="11"/>
  <c r="S190" i="11" s="1"/>
  <c r="M191" i="11"/>
  <c r="S191" i="11"/>
  <c r="M192" i="11"/>
  <c r="O192" i="11" s="1"/>
  <c r="S192" i="11"/>
  <c r="M193" i="11"/>
  <c r="S193" i="11"/>
  <c r="M194" i="11"/>
  <c r="O194" i="11" s="1"/>
  <c r="R194" i="11"/>
  <c r="S194" i="11" s="1"/>
  <c r="M195" i="11"/>
  <c r="O195" i="11" s="1"/>
  <c r="S195" i="11"/>
  <c r="M196" i="11"/>
  <c r="O196" i="11" s="1"/>
  <c r="S196" i="11"/>
  <c r="M197" i="11"/>
  <c r="O197" i="11" s="1"/>
  <c r="R197" i="11"/>
  <c r="S197" i="11" s="1"/>
  <c r="M198" i="11"/>
  <c r="O198" i="11" s="1"/>
  <c r="S198" i="11"/>
  <c r="M199" i="11"/>
  <c r="P199" i="11" s="1"/>
  <c r="S199" i="11"/>
  <c r="M200" i="11"/>
  <c r="N200" i="11"/>
  <c r="S200" i="11"/>
  <c r="M201" i="11"/>
  <c r="N201" i="11"/>
  <c r="S201" i="11"/>
  <c r="M202" i="11"/>
  <c r="O202" i="11" s="1"/>
  <c r="P202" i="11"/>
  <c r="S202" i="11"/>
  <c r="M203" i="11"/>
  <c r="O203" i="11" s="1"/>
  <c r="S203" i="11"/>
  <c r="M204" i="11"/>
  <c r="P204" i="11" s="1"/>
  <c r="S204" i="11"/>
  <c r="M205" i="11"/>
  <c r="O205" i="11" s="1"/>
  <c r="S205" i="11"/>
  <c r="M206" i="11"/>
  <c r="P206" i="11" s="1"/>
  <c r="R206" i="11"/>
  <c r="S206" i="11" s="1"/>
  <c r="M207" i="11"/>
  <c r="P207" i="11" s="1"/>
  <c r="S207" i="11"/>
  <c r="M208" i="11"/>
  <c r="P208" i="11" s="1"/>
  <c r="S208" i="11"/>
  <c r="M209" i="11"/>
  <c r="P209" i="11" s="1"/>
  <c r="R209" i="11"/>
  <c r="S209" i="11" s="1"/>
  <c r="M210" i="11"/>
  <c r="S210" i="11"/>
  <c r="M211" i="11"/>
  <c r="O211" i="11" s="1"/>
  <c r="S211" i="11"/>
  <c r="M212" i="11"/>
  <c r="R212" i="11"/>
  <c r="S212" i="11" s="1"/>
  <c r="M213" i="11"/>
  <c r="O213" i="11" s="1"/>
  <c r="R213" i="11"/>
  <c r="S213" i="11" s="1"/>
  <c r="M214" i="11"/>
  <c r="O214" i="11" s="1"/>
  <c r="S214" i="11"/>
  <c r="M215" i="11"/>
  <c r="P215" i="11" s="1"/>
  <c r="S215" i="11"/>
  <c r="M216" i="11"/>
  <c r="O216" i="11" s="1"/>
  <c r="R216" i="11"/>
  <c r="S216" i="11" s="1"/>
  <c r="M217" i="11"/>
  <c r="R217" i="11"/>
  <c r="S217" i="11" s="1"/>
  <c r="M218" i="11"/>
  <c r="O218" i="11" s="1"/>
  <c r="R218" i="11"/>
  <c r="S218" i="11" s="1"/>
  <c r="O219" i="11"/>
  <c r="P219" i="11"/>
  <c r="R219" i="11"/>
  <c r="S219" i="11" s="1"/>
  <c r="M220" i="11"/>
  <c r="N220" i="11"/>
  <c r="S220" i="11"/>
  <c r="M221" i="11"/>
  <c r="R221" i="11"/>
  <c r="S221" i="11" s="1"/>
  <c r="M222" i="11"/>
  <c r="O222" i="11" s="1"/>
  <c r="S222" i="11"/>
  <c r="M223" i="11"/>
  <c r="N223" i="11"/>
  <c r="S223" i="11"/>
  <c r="M224" i="11"/>
  <c r="P224" i="11" s="1"/>
  <c r="S224" i="11"/>
  <c r="O225" i="11"/>
  <c r="P225" i="11"/>
  <c r="R225" i="11"/>
  <c r="S225" i="11" s="1"/>
  <c r="O226" i="11"/>
  <c r="P226" i="11"/>
  <c r="S226" i="11"/>
  <c r="M227" i="11"/>
  <c r="O227" i="11" s="1"/>
  <c r="S227" i="11"/>
  <c r="O228" i="11"/>
  <c r="P228" i="11"/>
  <c r="R228" i="11"/>
  <c r="S228" i="11" s="1"/>
  <c r="O229" i="11"/>
  <c r="P229" i="11"/>
  <c r="S229" i="11"/>
  <c r="O230" i="11"/>
  <c r="P230" i="11"/>
  <c r="S230" i="11"/>
  <c r="M231" i="11"/>
  <c r="P231" i="11" s="1"/>
  <c r="S231" i="11"/>
  <c r="O232" i="11"/>
  <c r="P232" i="11"/>
  <c r="S232" i="11"/>
  <c r="M233" i="11"/>
  <c r="O233" i="11" s="1"/>
  <c r="S233" i="11"/>
  <c r="O234" i="11"/>
  <c r="P234" i="11"/>
  <c r="S234" i="11"/>
  <c r="O235" i="11"/>
  <c r="P235" i="11"/>
  <c r="S235" i="11"/>
  <c r="O236" i="11"/>
  <c r="P236" i="11"/>
  <c r="S236" i="11"/>
  <c r="O237" i="11"/>
  <c r="P237" i="11"/>
  <c r="S237" i="11"/>
  <c r="O238" i="11"/>
  <c r="P238" i="11"/>
  <c r="S238" i="11"/>
  <c r="O239" i="11"/>
  <c r="P239" i="11"/>
  <c r="S239" i="11"/>
  <c r="O240" i="11"/>
  <c r="P240" i="11"/>
  <c r="R240" i="11"/>
  <c r="S240" i="11" s="1"/>
  <c r="M241" i="11"/>
  <c r="P241" i="11" s="1"/>
  <c r="S241" i="11"/>
  <c r="M242" i="11"/>
  <c r="O242" i="11" s="1"/>
  <c r="S242" i="11"/>
  <c r="O243" i="11"/>
  <c r="P243" i="11"/>
  <c r="R243" i="11"/>
  <c r="S243" i="11" s="1"/>
  <c r="O244" i="11"/>
  <c r="P244" i="11"/>
  <c r="R244" i="11"/>
  <c r="S244" i="11" s="1"/>
  <c r="O245" i="11"/>
  <c r="P245" i="11"/>
  <c r="S245" i="11"/>
  <c r="N246" i="11"/>
  <c r="S246" i="11"/>
  <c r="O247" i="11"/>
  <c r="P247" i="11"/>
  <c r="R247" i="11"/>
  <c r="S247" i="11" s="1"/>
  <c r="O248" i="11"/>
  <c r="P248" i="11"/>
  <c r="R248" i="11"/>
  <c r="S248" i="11" s="1"/>
  <c r="M249" i="11"/>
  <c r="R249" i="11"/>
  <c r="S249" i="11" s="1"/>
  <c r="M250" i="11"/>
  <c r="O250" i="11" s="1"/>
  <c r="R250" i="11"/>
  <c r="S250" i="11" s="1"/>
  <c r="M251" i="11"/>
  <c r="P251" i="11" s="1"/>
  <c r="S251" i="11"/>
  <c r="M252" i="11"/>
  <c r="P252" i="11" s="1"/>
  <c r="R252" i="11"/>
  <c r="S252" i="11" s="1"/>
  <c r="M253" i="11"/>
  <c r="O253" i="11" s="1"/>
  <c r="S253" i="11"/>
  <c r="M254" i="11"/>
  <c r="S254" i="11"/>
  <c r="M255" i="11"/>
  <c r="O255" i="11" s="1"/>
  <c r="S255" i="11"/>
  <c r="M256" i="11"/>
  <c r="R256" i="11"/>
  <c r="S256" i="11" s="1"/>
  <c r="M257" i="11"/>
  <c r="O257" i="11" s="1"/>
  <c r="R257" i="11"/>
  <c r="S257" i="11" s="1"/>
  <c r="M258" i="11"/>
  <c r="O258" i="11" s="1"/>
  <c r="S258" i="11"/>
  <c r="M259" i="11"/>
  <c r="O259" i="11" s="1"/>
  <c r="R259" i="11"/>
  <c r="S259" i="11" s="1"/>
  <c r="M260" i="11"/>
  <c r="S260" i="11"/>
  <c r="M261" i="11"/>
  <c r="S261" i="11"/>
  <c r="M262" i="11"/>
  <c r="S262" i="11"/>
  <c r="M263" i="11"/>
  <c r="S263" i="11"/>
  <c r="M264" i="11"/>
  <c r="S264" i="11"/>
  <c r="M265" i="11"/>
  <c r="S265" i="11"/>
  <c r="M266" i="11"/>
  <c r="S266" i="11"/>
  <c r="M267" i="11"/>
  <c r="S267" i="11"/>
  <c r="M268" i="11"/>
  <c r="S268" i="11"/>
  <c r="M269" i="11"/>
  <c r="S269" i="11"/>
  <c r="M270" i="11"/>
  <c r="S270" i="11"/>
  <c r="M271" i="11"/>
  <c r="R271" i="11"/>
  <c r="S271" i="11" s="1"/>
  <c r="M272" i="11"/>
  <c r="O272" i="11" s="1"/>
  <c r="S272" i="11"/>
  <c r="M273" i="11"/>
  <c r="P273" i="11" s="1"/>
  <c r="S273" i="11"/>
  <c r="M274" i="11"/>
  <c r="P274" i="11" s="1"/>
  <c r="R274" i="11"/>
  <c r="S274" i="11" s="1"/>
  <c r="M275" i="11"/>
  <c r="P275" i="11" s="1"/>
  <c r="R275" i="11"/>
  <c r="S275" i="11" s="1"/>
  <c r="M276" i="11"/>
  <c r="O276" i="11" s="1"/>
  <c r="S276" i="11"/>
  <c r="M277" i="11"/>
  <c r="R277" i="11"/>
  <c r="S277" i="11" s="1"/>
  <c r="M278" i="11"/>
  <c r="O278" i="11" s="1"/>
  <c r="R278" i="11"/>
  <c r="S278" i="11" s="1"/>
  <c r="M279" i="11"/>
  <c r="P279" i="11" s="1"/>
  <c r="R279" i="11"/>
  <c r="S279" i="11" s="1"/>
  <c r="M280" i="11"/>
  <c r="R280" i="11"/>
  <c r="S280" i="11" s="1"/>
  <c r="O281" i="11"/>
  <c r="P281" i="11"/>
  <c r="R281" i="11"/>
  <c r="S281" i="11" s="1"/>
  <c r="M282" i="11"/>
  <c r="P282" i="11" s="1"/>
  <c r="S282" i="11"/>
  <c r="O283" i="11"/>
  <c r="P283" i="11"/>
  <c r="R283" i="11"/>
  <c r="S283" i="11" s="1"/>
  <c r="O284" i="11"/>
  <c r="P284" i="11"/>
  <c r="S284" i="11"/>
  <c r="O285" i="11"/>
  <c r="P285" i="11"/>
  <c r="S285" i="11"/>
  <c r="M286" i="11"/>
  <c r="O286" i="11" s="1"/>
  <c r="S286" i="11"/>
  <c r="M287" i="11"/>
  <c r="P287" i="11" s="1"/>
  <c r="R287" i="11"/>
  <c r="S287" i="11" s="1"/>
  <c r="M288" i="11"/>
  <c r="S288" i="11"/>
  <c r="M289" i="11"/>
  <c r="R289" i="11"/>
  <c r="S289" i="11" s="1"/>
  <c r="O290" i="11"/>
  <c r="P290" i="11"/>
  <c r="R290" i="11"/>
  <c r="S290" i="11" s="1"/>
  <c r="O291" i="11"/>
  <c r="P291" i="11"/>
  <c r="S291" i="11"/>
  <c r="O292" i="11"/>
  <c r="P292" i="11"/>
  <c r="S292" i="11"/>
  <c r="O293" i="11"/>
  <c r="P293" i="11"/>
  <c r="S293" i="11"/>
  <c r="O294" i="11"/>
  <c r="P294" i="11"/>
  <c r="S294" i="11"/>
  <c r="O295" i="11"/>
  <c r="P295" i="11"/>
  <c r="S295" i="11"/>
  <c r="O296" i="11"/>
  <c r="P296" i="11"/>
  <c r="S296" i="11"/>
  <c r="M297" i="11"/>
  <c r="O297" i="11" s="1"/>
  <c r="S297" i="11"/>
  <c r="O298" i="11"/>
  <c r="P298" i="11"/>
  <c r="S298" i="11"/>
  <c r="O299" i="11"/>
  <c r="P299" i="11"/>
  <c r="S299" i="11"/>
  <c r="O300" i="11"/>
  <c r="P300" i="11"/>
  <c r="S300" i="11"/>
  <c r="O301" i="11"/>
  <c r="P301" i="11"/>
  <c r="S301" i="11"/>
  <c r="M302" i="11"/>
  <c r="R302" i="11"/>
  <c r="S302" i="11" s="1"/>
  <c r="M303" i="11"/>
  <c r="O303" i="11" s="1"/>
  <c r="S303" i="11"/>
  <c r="O304" i="11"/>
  <c r="P304" i="11"/>
  <c r="S304" i="11"/>
  <c r="M305" i="11"/>
  <c r="O305" i="11" s="1"/>
  <c r="R305" i="11"/>
  <c r="S305" i="11" s="1"/>
  <c r="O306" i="11"/>
  <c r="P306" i="11"/>
  <c r="R306" i="11"/>
  <c r="S306" i="11" s="1"/>
  <c r="O307" i="11"/>
  <c r="P307" i="11"/>
  <c r="S307" i="11"/>
  <c r="O308" i="11"/>
  <c r="P308" i="11"/>
  <c r="R308" i="11"/>
  <c r="S308" i="11" s="1"/>
  <c r="M309" i="11"/>
  <c r="O309" i="11" s="1"/>
  <c r="R309" i="11"/>
  <c r="S309" i="11" s="1"/>
  <c r="O310" i="11"/>
  <c r="P310" i="11"/>
  <c r="R310" i="11"/>
  <c r="S310" i="11" s="1"/>
  <c r="O311" i="11"/>
  <c r="P311" i="11"/>
  <c r="R311" i="11"/>
  <c r="S311" i="11" s="1"/>
  <c r="M312" i="11"/>
  <c r="P312" i="11" s="1"/>
  <c r="R312" i="11"/>
  <c r="S312" i="11" s="1"/>
  <c r="O313" i="11"/>
  <c r="P313" i="11"/>
  <c r="S313" i="11"/>
  <c r="M314" i="11"/>
  <c r="P314" i="11" s="1"/>
  <c r="R314" i="11"/>
  <c r="S314" i="11" s="1"/>
  <c r="O315" i="11"/>
  <c r="P315" i="11"/>
  <c r="S315" i="11"/>
  <c r="O316" i="11"/>
  <c r="P316" i="11"/>
  <c r="S316" i="11"/>
  <c r="M317" i="11"/>
  <c r="S317" i="11"/>
  <c r="O318" i="11"/>
  <c r="P318" i="11"/>
  <c r="R318" i="11"/>
  <c r="S318" i="11" s="1"/>
  <c r="O319" i="11"/>
  <c r="P319" i="11"/>
  <c r="S319" i="11"/>
  <c r="O320" i="11"/>
  <c r="P320" i="11"/>
  <c r="S320" i="11"/>
  <c r="M321" i="11"/>
  <c r="P321" i="11" s="1"/>
  <c r="R321" i="11"/>
  <c r="S321" i="11" s="1"/>
  <c r="O322" i="11"/>
  <c r="P322" i="11"/>
  <c r="S322" i="11"/>
  <c r="O323" i="11"/>
  <c r="P323" i="11"/>
  <c r="S323" i="11"/>
  <c r="M324" i="11"/>
  <c r="P324" i="11" s="1"/>
  <c r="S324" i="11"/>
  <c r="M325" i="11"/>
  <c r="S325" i="11"/>
  <c r="O326" i="11"/>
  <c r="P326" i="11"/>
  <c r="S326" i="11"/>
  <c r="O327" i="11"/>
  <c r="P327" i="11"/>
  <c r="S327" i="11"/>
  <c r="O328" i="11"/>
  <c r="P328" i="11"/>
  <c r="S328" i="11"/>
  <c r="O329" i="11"/>
  <c r="P329" i="11"/>
  <c r="S329" i="11"/>
  <c r="O330" i="11"/>
  <c r="P330" i="11"/>
  <c r="S330" i="11"/>
  <c r="O331" i="11"/>
  <c r="P331" i="11"/>
  <c r="S331" i="11"/>
  <c r="O332" i="11"/>
  <c r="P332" i="11"/>
  <c r="S332" i="11"/>
  <c r="O333" i="11"/>
  <c r="P333" i="11"/>
  <c r="R333" i="11"/>
  <c r="S333" i="11" s="1"/>
  <c r="O334" i="11"/>
  <c r="P334" i="11"/>
  <c r="S334" i="11"/>
  <c r="O335" i="11"/>
  <c r="P335" i="11"/>
  <c r="S335" i="11"/>
  <c r="M336" i="11"/>
  <c r="R336" i="11"/>
  <c r="S336" i="11" s="1"/>
  <c r="O337" i="11"/>
  <c r="P337" i="11"/>
  <c r="R337" i="11"/>
  <c r="S337" i="11" s="1"/>
  <c r="N338" i="11"/>
  <c r="S338" i="11"/>
  <c r="M339" i="11"/>
  <c r="O339" i="11" s="1"/>
  <c r="R339" i="11"/>
  <c r="S339" i="11" s="1"/>
  <c r="M340" i="11"/>
  <c r="P340" i="11" s="1"/>
  <c r="R340" i="11"/>
  <c r="S340" i="11" s="1"/>
  <c r="O341" i="11"/>
  <c r="P341" i="11"/>
  <c r="R341" i="11"/>
  <c r="S341" i="11" s="1"/>
  <c r="O342" i="11"/>
  <c r="P342" i="11"/>
  <c r="S342" i="11"/>
  <c r="O343" i="11"/>
  <c r="P343" i="11"/>
  <c r="R343" i="11"/>
  <c r="S343" i="11" s="1"/>
  <c r="M344" i="11"/>
  <c r="P344" i="11" s="1"/>
  <c r="S344" i="11"/>
  <c r="O345" i="11"/>
  <c r="P345" i="11"/>
  <c r="R345" i="11"/>
  <c r="S345" i="11" s="1"/>
  <c r="O346" i="11"/>
  <c r="P346" i="11"/>
  <c r="S346" i="11"/>
  <c r="O347" i="11"/>
  <c r="P347" i="11"/>
  <c r="S347" i="11"/>
  <c r="M348" i="11"/>
  <c r="S348" i="11"/>
  <c r="O349" i="11"/>
  <c r="P349" i="11"/>
  <c r="R349" i="11"/>
  <c r="S349" i="11" s="1"/>
  <c r="O350" i="11"/>
  <c r="P350" i="11"/>
  <c r="S350" i="11"/>
  <c r="O351" i="11"/>
  <c r="P351" i="11"/>
  <c r="S351" i="11"/>
  <c r="M352" i="11"/>
  <c r="O352" i="11" s="1"/>
  <c r="R352" i="11"/>
  <c r="S352" i="11" s="1"/>
  <c r="O353" i="11"/>
  <c r="P353" i="11"/>
  <c r="S353" i="11"/>
  <c r="O354" i="11"/>
  <c r="P354" i="11"/>
  <c r="S354" i="11"/>
  <c r="M355" i="11"/>
  <c r="O355" i="11" s="1"/>
  <c r="S355" i="11"/>
  <c r="M356" i="11"/>
  <c r="O356" i="11" s="1"/>
  <c r="S356" i="11"/>
  <c r="O357" i="11"/>
  <c r="P357" i="11"/>
  <c r="S357" i="11"/>
  <c r="M358" i="11"/>
  <c r="S358" i="11"/>
  <c r="O359" i="11"/>
  <c r="P359" i="11"/>
  <c r="S359" i="11"/>
  <c r="O360" i="11"/>
  <c r="P360" i="11"/>
  <c r="S360" i="11"/>
  <c r="M361" i="11"/>
  <c r="S361" i="11"/>
  <c r="O362" i="11"/>
  <c r="P362" i="11"/>
  <c r="S362" i="11"/>
  <c r="M363" i="11"/>
  <c r="O363" i="11" s="1"/>
  <c r="S363" i="11"/>
  <c r="M364" i="11"/>
  <c r="P364" i="11" s="1"/>
  <c r="R364" i="11"/>
  <c r="S364" i="11" s="1"/>
  <c r="M365" i="11"/>
  <c r="S365" i="11"/>
  <c r="O366" i="11"/>
  <c r="P366" i="11"/>
  <c r="S366" i="11"/>
  <c r="M367" i="11"/>
  <c r="O367" i="11" s="1"/>
  <c r="R367" i="11"/>
  <c r="S367" i="11" s="1"/>
  <c r="O368" i="11"/>
  <c r="P368" i="11"/>
  <c r="R368" i="11"/>
  <c r="S368" i="11" s="1"/>
  <c r="O369" i="11"/>
  <c r="P369" i="11"/>
  <c r="S369" i="11"/>
  <c r="O370" i="11"/>
  <c r="P370" i="11"/>
  <c r="R370" i="11"/>
  <c r="S370" i="11" s="1"/>
  <c r="O371" i="11"/>
  <c r="P371" i="11"/>
  <c r="R371" i="11"/>
  <c r="S371" i="11" s="1"/>
  <c r="O372" i="11"/>
  <c r="P372" i="11"/>
  <c r="R372" i="11"/>
  <c r="S372" i="11" s="1"/>
  <c r="M373" i="11"/>
  <c r="O373" i="11" s="1"/>
  <c r="S373" i="11"/>
  <c r="O374" i="11"/>
  <c r="P374" i="11"/>
  <c r="R374" i="11"/>
  <c r="S374" i="11" s="1"/>
  <c r="M375" i="11"/>
  <c r="O375" i="11" s="1"/>
  <c r="S375" i="11"/>
  <c r="O376" i="11"/>
  <c r="P376" i="11"/>
  <c r="R376" i="11"/>
  <c r="S376" i="11" s="1"/>
  <c r="M377" i="11"/>
  <c r="P377" i="11" s="1"/>
  <c r="S377" i="11"/>
  <c r="M378" i="11"/>
  <c r="P378" i="11" s="1"/>
  <c r="S378" i="11"/>
  <c r="O379" i="11"/>
  <c r="P379" i="11"/>
  <c r="S379" i="11"/>
  <c r="O380" i="11"/>
  <c r="P380" i="11"/>
  <c r="R380" i="11"/>
  <c r="S380" i="11" s="1"/>
  <c r="O381" i="11"/>
  <c r="P381" i="11"/>
  <c r="S381" i="11"/>
  <c r="M382" i="11"/>
  <c r="O382" i="11" s="1"/>
  <c r="R382" i="11"/>
  <c r="S382" i="11" s="1"/>
  <c r="O383" i="11"/>
  <c r="P383" i="11"/>
  <c r="R383" i="11"/>
  <c r="S383" i="11" s="1"/>
  <c r="O384" i="11"/>
  <c r="P384" i="11"/>
  <c r="S384" i="11"/>
  <c r="M385" i="11"/>
  <c r="O385" i="11" s="1"/>
  <c r="S385" i="11"/>
  <c r="M386" i="11"/>
  <c r="O386" i="11" s="1"/>
  <c r="S386" i="11"/>
  <c r="M387" i="11"/>
  <c r="O387" i="11" s="1"/>
  <c r="S387" i="11"/>
  <c r="O388" i="11"/>
  <c r="P388" i="11"/>
  <c r="S388" i="11"/>
  <c r="O389" i="11"/>
  <c r="P389" i="11"/>
  <c r="S389" i="11"/>
  <c r="M390" i="11"/>
  <c r="O390" i="11" s="1"/>
  <c r="S390" i="11"/>
  <c r="O391" i="11"/>
  <c r="P391" i="11"/>
  <c r="S391" i="11"/>
  <c r="M392" i="11"/>
  <c r="R392" i="11"/>
  <c r="S392" i="11" s="1"/>
  <c r="M393" i="11"/>
  <c r="O393" i="11" s="1"/>
  <c r="R393" i="11"/>
  <c r="S393" i="11" s="1"/>
  <c r="O394" i="11"/>
  <c r="P394" i="11"/>
  <c r="S394" i="11"/>
  <c r="O395" i="11"/>
  <c r="P395" i="11"/>
  <c r="R395" i="11"/>
  <c r="S395" i="11" s="1"/>
  <c r="M396" i="11"/>
  <c r="O396" i="11" s="1"/>
  <c r="S396" i="11"/>
  <c r="O397" i="11"/>
  <c r="P397" i="11"/>
  <c r="S397" i="11"/>
  <c r="M398" i="11"/>
  <c r="R398" i="11"/>
  <c r="S398" i="11" s="1"/>
  <c r="M399" i="11"/>
  <c r="O399" i="11" s="1"/>
  <c r="R399" i="11"/>
  <c r="S399" i="11" s="1"/>
  <c r="M400" i="11"/>
  <c r="O400" i="11" s="1"/>
  <c r="S400" i="11"/>
  <c r="O401" i="11"/>
  <c r="P401" i="11"/>
  <c r="R401" i="11"/>
  <c r="S401" i="11" s="1"/>
  <c r="O402" i="11"/>
  <c r="P402" i="11"/>
  <c r="R402" i="11"/>
  <c r="S402" i="11" s="1"/>
  <c r="O403" i="11"/>
  <c r="P403" i="11"/>
  <c r="R403" i="11"/>
  <c r="S403" i="11" s="1"/>
  <c r="O404" i="11"/>
  <c r="P404" i="11"/>
  <c r="S404" i="11"/>
  <c r="J405" i="11"/>
  <c r="M405" i="11"/>
  <c r="P405" i="11" s="1"/>
  <c r="R405" i="11"/>
  <c r="S405" i="11" s="1"/>
  <c r="J406" i="11"/>
  <c r="M406" i="11"/>
  <c r="P406" i="11" s="1"/>
  <c r="S406" i="11"/>
  <c r="J407" i="11"/>
  <c r="M407" i="11"/>
  <c r="O407" i="11" s="1"/>
  <c r="S407" i="11"/>
  <c r="J408" i="11"/>
  <c r="M408" i="11"/>
  <c r="O408" i="11" s="1"/>
  <c r="S408" i="11"/>
  <c r="J409" i="11"/>
  <c r="M409" i="11"/>
  <c r="O409" i="11" s="1"/>
  <c r="S409" i="11"/>
  <c r="J410" i="11"/>
  <c r="M410" i="11"/>
  <c r="P410" i="11" s="1"/>
  <c r="R410" i="11"/>
  <c r="S410" i="11" s="1"/>
  <c r="J411" i="11"/>
  <c r="M411" i="11"/>
  <c r="O411" i="11" s="1"/>
  <c r="R411" i="11"/>
  <c r="S411" i="11" s="1"/>
  <c r="J412" i="11"/>
  <c r="M412" i="11"/>
  <c r="S412" i="11"/>
  <c r="J413" i="11"/>
  <c r="M413" i="11"/>
  <c r="O413" i="11" s="1"/>
  <c r="S413" i="11"/>
  <c r="J414" i="11"/>
  <c r="M414" i="11"/>
  <c r="P414" i="11" s="1"/>
  <c r="R414" i="11"/>
  <c r="S414" i="11" s="1"/>
  <c r="J415" i="11"/>
  <c r="M415" i="11"/>
  <c r="O415" i="11" s="1"/>
  <c r="S415" i="11"/>
  <c r="J416" i="11"/>
  <c r="M416" i="11"/>
  <c r="O416" i="11" s="1"/>
  <c r="R416" i="11"/>
  <c r="S416" i="11" s="1"/>
  <c r="J417" i="11"/>
  <c r="M417" i="11"/>
  <c r="O417" i="11" s="1"/>
  <c r="S417" i="11"/>
  <c r="J418" i="11"/>
  <c r="M418" i="11"/>
  <c r="P418" i="11" s="1"/>
  <c r="S418" i="11"/>
  <c r="J419" i="11"/>
  <c r="M419" i="11"/>
  <c r="O419" i="11" s="1"/>
  <c r="S419" i="11"/>
  <c r="J420" i="11"/>
  <c r="M420" i="11"/>
  <c r="O420" i="11" s="1"/>
  <c r="S420" i="11"/>
  <c r="J421" i="11"/>
  <c r="M421" i="11"/>
  <c r="P421" i="11" s="1"/>
  <c r="S421" i="11"/>
  <c r="J422" i="11"/>
  <c r="M422" i="11"/>
  <c r="S422" i="11"/>
  <c r="J423" i="11"/>
  <c r="M423" i="11"/>
  <c r="O423" i="11" s="1"/>
  <c r="S423" i="11"/>
  <c r="J424" i="11"/>
  <c r="M424" i="11"/>
  <c r="P424" i="11" s="1"/>
  <c r="S424" i="11"/>
  <c r="J425" i="11"/>
  <c r="M425" i="11"/>
  <c r="O425" i="11" s="1"/>
  <c r="S425" i="11"/>
  <c r="J426" i="11"/>
  <c r="M426" i="11"/>
  <c r="P426" i="11" s="1"/>
  <c r="R426" i="11"/>
  <c r="S426" i="11" s="1"/>
  <c r="J427" i="11"/>
  <c r="M427" i="11"/>
  <c r="S427" i="11"/>
  <c r="J428" i="11"/>
  <c r="M428" i="11"/>
  <c r="O428" i="11" s="1"/>
  <c r="S428" i="11"/>
  <c r="J429" i="11"/>
  <c r="M429" i="11"/>
  <c r="O429" i="11" s="1"/>
  <c r="R429" i="11"/>
  <c r="S429" i="11" s="1"/>
  <c r="J430" i="11"/>
  <c r="M430" i="11"/>
  <c r="O430" i="11" s="1"/>
  <c r="R430" i="11"/>
  <c r="S430" i="11" s="1"/>
  <c r="J431" i="11"/>
  <c r="M431" i="11"/>
  <c r="O431" i="11" s="1"/>
  <c r="S431" i="11"/>
  <c r="J432" i="11"/>
  <c r="M432" i="11"/>
  <c r="O432" i="11" s="1"/>
  <c r="R432" i="11"/>
  <c r="S432" i="11" s="1"/>
  <c r="J433" i="11"/>
  <c r="M433" i="11"/>
  <c r="O433" i="11" s="1"/>
  <c r="R433" i="11"/>
  <c r="S433" i="11" s="1"/>
  <c r="J434" i="11"/>
  <c r="M434" i="11"/>
  <c r="O434" i="11" s="1"/>
  <c r="R434" i="11"/>
  <c r="S434" i="11" s="1"/>
  <c r="J435" i="11"/>
  <c r="M435" i="11"/>
  <c r="O435" i="11" s="1"/>
  <c r="S435" i="11"/>
  <c r="O436" i="11"/>
  <c r="P436" i="11"/>
  <c r="R436" i="11"/>
  <c r="S436" i="11" s="1"/>
  <c r="M437" i="11"/>
  <c r="O437" i="11" s="1"/>
  <c r="S437" i="11"/>
  <c r="O438" i="11"/>
  <c r="P438" i="11"/>
  <c r="S438" i="11"/>
  <c r="M439" i="11"/>
  <c r="S439" i="11"/>
  <c r="M440" i="11"/>
  <c r="O440" i="11" s="1"/>
  <c r="S440" i="11"/>
  <c r="M441" i="11"/>
  <c r="S441" i="11"/>
  <c r="O442" i="11"/>
  <c r="P442" i="11"/>
  <c r="R442" i="11"/>
  <c r="S442" i="11" s="1"/>
  <c r="M443" i="11"/>
  <c r="S443" i="11"/>
  <c r="O444" i="11"/>
  <c r="P444" i="11"/>
  <c r="S444" i="11"/>
  <c r="M445" i="11"/>
  <c r="P445" i="11" s="1"/>
  <c r="R445" i="11"/>
  <c r="S445" i="11" s="1"/>
  <c r="O446" i="11"/>
  <c r="P446" i="11"/>
  <c r="S446" i="11"/>
  <c r="O447" i="11"/>
  <c r="P447" i="11"/>
  <c r="S447" i="11"/>
  <c r="M448" i="11"/>
  <c r="O448" i="11" s="1"/>
  <c r="S448" i="11"/>
  <c r="O449" i="11"/>
  <c r="P449" i="11"/>
  <c r="S449" i="11"/>
  <c r="O450" i="11"/>
  <c r="P450" i="11"/>
  <c r="S450" i="11"/>
  <c r="O451" i="11"/>
  <c r="P451" i="11"/>
  <c r="S451" i="11"/>
  <c r="O452" i="11"/>
  <c r="P452" i="11"/>
  <c r="R452" i="11"/>
  <c r="S452" i="11" s="1"/>
  <c r="M453" i="11"/>
  <c r="O453" i="11" s="1"/>
  <c r="S453" i="11"/>
  <c r="O454" i="11"/>
  <c r="P454" i="11"/>
  <c r="S454" i="11"/>
  <c r="O455" i="11"/>
  <c r="P455" i="11"/>
  <c r="S455" i="11"/>
  <c r="M456" i="11"/>
  <c r="P456" i="11" s="1"/>
  <c r="S456" i="11"/>
  <c r="O457" i="11"/>
  <c r="P457" i="11"/>
  <c r="R457" i="11"/>
  <c r="S457" i="11" s="1"/>
  <c r="O458" i="11"/>
  <c r="P458" i="11"/>
  <c r="S458" i="11"/>
  <c r="O459" i="11"/>
  <c r="P459" i="11"/>
  <c r="S459" i="11"/>
  <c r="M460" i="11"/>
  <c r="R460" i="11"/>
  <c r="S460" i="11" s="1"/>
  <c r="M461" i="11"/>
  <c r="P461" i="11" s="1"/>
  <c r="S461" i="11"/>
  <c r="O462" i="11"/>
  <c r="P462" i="11"/>
  <c r="S462" i="11"/>
  <c r="O463" i="11"/>
  <c r="P463" i="11"/>
  <c r="R463" i="11"/>
  <c r="S463" i="11" s="1"/>
  <c r="M464" i="11"/>
  <c r="R464" i="11"/>
  <c r="S464" i="11" s="1"/>
  <c r="O465" i="11"/>
  <c r="P465" i="11"/>
  <c r="R465" i="11"/>
  <c r="S465" i="11" s="1"/>
  <c r="M466" i="11"/>
  <c r="O466" i="11" s="1"/>
  <c r="S466" i="11"/>
  <c r="M467" i="11"/>
  <c r="O467" i="11" s="1"/>
  <c r="R467" i="11"/>
  <c r="S467" i="11" s="1"/>
  <c r="M468" i="11"/>
  <c r="P468" i="11" s="1"/>
  <c r="S468" i="11"/>
  <c r="M469" i="11"/>
  <c r="S469" i="11"/>
  <c r="M470" i="11"/>
  <c r="P470" i="11" s="1"/>
  <c r="S470" i="11"/>
  <c r="M471" i="11"/>
  <c r="O471" i="11" s="1"/>
  <c r="S471" i="11"/>
  <c r="M472" i="11"/>
  <c r="P472" i="11" s="1"/>
  <c r="S472" i="11"/>
  <c r="M473" i="11"/>
  <c r="O473" i="11" s="1"/>
  <c r="S473" i="11"/>
  <c r="M474" i="11"/>
  <c r="P474" i="11" s="1"/>
  <c r="S474" i="11"/>
  <c r="M475" i="11"/>
  <c r="P475" i="11" s="1"/>
  <c r="S475" i="11"/>
  <c r="M476" i="11"/>
  <c r="P476" i="11" s="1"/>
  <c r="R476" i="11"/>
  <c r="S476" i="11" s="1"/>
  <c r="M477" i="11"/>
  <c r="O477" i="11" s="1"/>
  <c r="S477" i="11"/>
  <c r="M478" i="11"/>
  <c r="S478" i="11"/>
  <c r="M479" i="11"/>
  <c r="O479" i="11" s="1"/>
  <c r="S479" i="11"/>
  <c r="M480" i="11"/>
  <c r="S480" i="11"/>
  <c r="M481" i="11"/>
  <c r="O481" i="11" s="1"/>
  <c r="S481" i="11"/>
  <c r="M482" i="11"/>
  <c r="S482" i="11"/>
  <c r="M483" i="11"/>
  <c r="O483" i="11" s="1"/>
  <c r="R483" i="11"/>
  <c r="S483" i="11" s="1"/>
  <c r="M484" i="11"/>
  <c r="O484" i="11" s="1"/>
  <c r="S484" i="11"/>
  <c r="M485" i="11"/>
  <c r="O485" i="11" s="1"/>
  <c r="S485" i="11"/>
  <c r="M486" i="11"/>
  <c r="O486" i="11" s="1"/>
  <c r="S486" i="11"/>
  <c r="M487" i="11"/>
  <c r="O487" i="11" s="1"/>
  <c r="S487" i="11"/>
  <c r="M488" i="11"/>
  <c r="O488" i="11" s="1"/>
  <c r="R488" i="11"/>
  <c r="S488" i="11" s="1"/>
  <c r="M489" i="11"/>
  <c r="S489" i="11"/>
  <c r="M490" i="11"/>
  <c r="O490" i="11" s="1"/>
  <c r="S490" i="11"/>
  <c r="M491" i="11"/>
  <c r="P491" i="11" s="1"/>
  <c r="R491" i="11"/>
  <c r="S491" i="11" s="1"/>
  <c r="M492" i="11"/>
  <c r="R492" i="11"/>
  <c r="S492" i="11" s="1"/>
  <c r="M493" i="11"/>
  <c r="P493" i="11" s="1"/>
  <c r="S493" i="11"/>
  <c r="M494" i="11"/>
  <c r="R494" i="11"/>
  <c r="S494" i="11" s="1"/>
  <c r="M495" i="11"/>
  <c r="P495" i="11" s="1"/>
  <c r="R495" i="11"/>
  <c r="S495" i="11" s="1"/>
  <c r="M496" i="11"/>
  <c r="O496" i="11" s="1"/>
  <c r="R496" i="11"/>
  <c r="S496" i="11" s="1"/>
  <c r="M497" i="11"/>
  <c r="O497" i="11" s="1"/>
  <c r="S497" i="11"/>
  <c r="M498" i="11"/>
  <c r="O498" i="11" s="1"/>
  <c r="R498" i="11"/>
  <c r="S498" i="11" s="1"/>
  <c r="M499" i="11"/>
  <c r="P499" i="11" s="1"/>
  <c r="S499" i="11"/>
  <c r="O500" i="11"/>
  <c r="P500" i="11"/>
  <c r="S500" i="11"/>
  <c r="M501" i="11"/>
  <c r="O501" i="11" s="1"/>
  <c r="S501" i="11"/>
  <c r="M502" i="11"/>
  <c r="S502" i="11"/>
  <c r="M503" i="11"/>
  <c r="O503" i="11" s="1"/>
  <c r="S503" i="11"/>
  <c r="O504" i="11"/>
  <c r="P504" i="11"/>
  <c r="S504" i="11"/>
  <c r="M505" i="11"/>
  <c r="S505" i="11"/>
  <c r="M506" i="11"/>
  <c r="O506" i="11" s="1"/>
  <c r="S506" i="11"/>
  <c r="O507" i="11"/>
  <c r="P507" i="11"/>
  <c r="R507" i="11"/>
  <c r="S507" i="11" s="1"/>
  <c r="O508" i="11"/>
  <c r="P508" i="11"/>
  <c r="S508" i="11"/>
  <c r="O509" i="11"/>
  <c r="P509" i="11"/>
  <c r="S509" i="11"/>
  <c r="O510" i="11"/>
  <c r="P510" i="11"/>
  <c r="S510" i="11"/>
  <c r="O511" i="11"/>
  <c r="P511" i="11"/>
  <c r="S511" i="11"/>
  <c r="O512" i="11"/>
  <c r="P512" i="11"/>
  <c r="S512" i="11"/>
  <c r="O513" i="11"/>
  <c r="P513" i="11"/>
  <c r="S513" i="11"/>
  <c r="O514" i="11"/>
  <c r="P514" i="11"/>
  <c r="S514" i="11"/>
  <c r="O515" i="11"/>
  <c r="P515" i="11"/>
  <c r="S515" i="11"/>
  <c r="O516" i="11"/>
  <c r="P516" i="11"/>
  <c r="S516" i="11"/>
  <c r="O517" i="11"/>
  <c r="P517" i="11"/>
  <c r="S517" i="11"/>
  <c r="O518" i="11"/>
  <c r="P518" i="11"/>
  <c r="S518" i="11"/>
  <c r="O519" i="11"/>
  <c r="P519" i="11"/>
  <c r="R519" i="11"/>
  <c r="S519" i="11" s="1"/>
  <c r="O520" i="11"/>
  <c r="P520" i="11"/>
  <c r="S520" i="11"/>
  <c r="O521" i="11"/>
  <c r="P521" i="11"/>
  <c r="S521" i="11"/>
  <c r="O522" i="11"/>
  <c r="P522" i="11"/>
  <c r="R522" i="11"/>
  <c r="S522" i="11" s="1"/>
  <c r="M523" i="11"/>
  <c r="P523" i="11" s="1"/>
  <c r="R523" i="11"/>
  <c r="S523" i="11" s="1"/>
  <c r="O524" i="11"/>
  <c r="P524" i="11"/>
  <c r="S524" i="11"/>
  <c r="M525" i="11"/>
  <c r="P525" i="11" s="1"/>
  <c r="R525" i="11"/>
  <c r="S525" i="11" s="1"/>
  <c r="M526" i="11"/>
  <c r="O526" i="11" s="1"/>
  <c r="R526" i="11"/>
  <c r="S526" i="11" s="1"/>
  <c r="M527" i="11"/>
  <c r="O527" i="11" s="1"/>
  <c r="R527" i="11"/>
  <c r="S527" i="11" s="1"/>
  <c r="O528" i="11"/>
  <c r="P528" i="11"/>
  <c r="S528" i="11"/>
  <c r="M529" i="11"/>
  <c r="R529" i="11"/>
  <c r="S529" i="11" s="1"/>
  <c r="M530" i="11"/>
  <c r="P530" i="11" s="1"/>
  <c r="S530" i="11"/>
  <c r="M531" i="11"/>
  <c r="S531" i="11"/>
  <c r="M532" i="11"/>
  <c r="P532" i="11" s="1"/>
  <c r="R532" i="11"/>
  <c r="S532" i="11" s="1"/>
  <c r="M533" i="11"/>
  <c r="S533" i="11"/>
  <c r="M534" i="11"/>
  <c r="S534" i="11"/>
  <c r="M535" i="11"/>
  <c r="R535" i="11"/>
  <c r="S535" i="11" s="1"/>
  <c r="M536" i="11"/>
  <c r="O536" i="11" s="1"/>
  <c r="S536" i="11"/>
  <c r="M537" i="11"/>
  <c r="O537" i="11" s="1"/>
  <c r="S537" i="11"/>
  <c r="M538" i="11"/>
  <c r="P538" i="11" s="1"/>
  <c r="R538" i="11"/>
  <c r="S538" i="11" s="1"/>
  <c r="M539" i="11"/>
  <c r="P539" i="11" s="1"/>
  <c r="S539" i="11"/>
  <c r="M540" i="11"/>
  <c r="P540" i="11" s="1"/>
  <c r="S540" i="11"/>
  <c r="M541" i="11"/>
  <c r="O541" i="11" s="1"/>
  <c r="S541" i="11"/>
  <c r="M542" i="11"/>
  <c r="P542" i="11" s="1"/>
  <c r="S542" i="11"/>
  <c r="M543" i="11"/>
  <c r="O543" i="11" s="1"/>
  <c r="S543" i="11"/>
  <c r="M544" i="11"/>
  <c r="S544" i="11"/>
  <c r="M545" i="11"/>
  <c r="O545" i="11" s="1"/>
  <c r="S545" i="11"/>
  <c r="M546" i="11"/>
  <c r="P546" i="11" s="1"/>
  <c r="S546" i="11"/>
  <c r="M547" i="11"/>
  <c r="S547" i="11"/>
  <c r="M548" i="11"/>
  <c r="P548" i="11" s="1"/>
  <c r="S548" i="11"/>
  <c r="M549" i="11"/>
  <c r="P549" i="11" s="1"/>
  <c r="S549" i="11"/>
  <c r="M550" i="11"/>
  <c r="R550" i="11"/>
  <c r="S550" i="11" s="1"/>
  <c r="M551" i="11"/>
  <c r="O551" i="11" s="1"/>
  <c r="R551" i="11"/>
  <c r="S551" i="11" s="1"/>
  <c r="M552" i="11"/>
  <c r="O552" i="11" s="1"/>
  <c r="S552" i="11"/>
  <c r="M553" i="11"/>
  <c r="R553" i="11"/>
  <c r="S553" i="11" s="1"/>
  <c r="M554" i="11"/>
  <c r="P554" i="11" s="1"/>
  <c r="R554" i="11"/>
  <c r="S554" i="11" s="1"/>
  <c r="M555" i="11"/>
  <c r="S555" i="11"/>
  <c r="M556" i="11"/>
  <c r="R556" i="11"/>
  <c r="S556" i="11" s="1"/>
  <c r="M557" i="11"/>
  <c r="P557" i="11" s="1"/>
  <c r="R557" i="11"/>
  <c r="S557" i="11" s="1"/>
  <c r="M558" i="11"/>
  <c r="O558" i="11" s="1"/>
  <c r="R558" i="11"/>
  <c r="S558" i="11" s="1"/>
  <c r="M559" i="11"/>
  <c r="S559" i="11"/>
  <c r="O560" i="11"/>
  <c r="P560" i="11"/>
  <c r="R560" i="11"/>
  <c r="S560" i="11" s="1"/>
  <c r="O561" i="11"/>
  <c r="P561" i="11"/>
  <c r="S561" i="11"/>
  <c r="O562" i="11"/>
  <c r="P562" i="11"/>
  <c r="S562" i="11"/>
  <c r="O563" i="11"/>
  <c r="P563" i="11"/>
  <c r="S563" i="11"/>
  <c r="O564" i="11"/>
  <c r="P564" i="11"/>
  <c r="S564" i="11"/>
  <c r="O565" i="11"/>
  <c r="P565" i="11"/>
  <c r="S565" i="11"/>
  <c r="M566" i="11"/>
  <c r="O566" i="11" s="1"/>
  <c r="R566" i="11"/>
  <c r="S566" i="11" s="1"/>
  <c r="O567" i="11"/>
  <c r="P567" i="11"/>
  <c r="R567" i="11"/>
  <c r="S567" i="11" s="1"/>
  <c r="O568" i="11"/>
  <c r="P568" i="11"/>
  <c r="S568" i="11"/>
  <c r="O569" i="11"/>
  <c r="P569" i="11"/>
  <c r="R569" i="11"/>
  <c r="S569" i="11" s="1"/>
  <c r="O570" i="11"/>
  <c r="P570" i="11"/>
  <c r="S570" i="11"/>
  <c r="M571" i="11"/>
  <c r="O571" i="11" s="1"/>
  <c r="S571" i="11"/>
  <c r="O572" i="11"/>
  <c r="P572" i="11"/>
  <c r="S572" i="11"/>
  <c r="O573" i="11"/>
  <c r="P573" i="11"/>
  <c r="S573" i="11"/>
  <c r="O574" i="11"/>
  <c r="P574" i="11"/>
  <c r="S574" i="11"/>
  <c r="O575" i="11"/>
  <c r="P575" i="11"/>
  <c r="S575" i="11"/>
  <c r="O576" i="11"/>
  <c r="P576" i="11"/>
  <c r="S576" i="11"/>
  <c r="O577" i="11"/>
  <c r="P577" i="11"/>
  <c r="S577" i="11"/>
  <c r="O578" i="11"/>
  <c r="P578" i="11"/>
  <c r="S578" i="11"/>
  <c r="M579" i="11"/>
  <c r="S579" i="11"/>
  <c r="O580" i="11"/>
  <c r="P580" i="11"/>
  <c r="S580" i="11"/>
  <c r="M581" i="11"/>
  <c r="R581" i="11"/>
  <c r="S581" i="11" s="1"/>
  <c r="N582" i="11"/>
  <c r="O582" i="11" s="1"/>
  <c r="S582" i="11"/>
  <c r="O583" i="11"/>
  <c r="P583" i="11"/>
  <c r="S583" i="11"/>
  <c r="O584" i="11"/>
  <c r="P584" i="11"/>
  <c r="R584" i="11"/>
  <c r="S584" i="11" s="1"/>
  <c r="M585" i="11"/>
  <c r="O585" i="11" s="1"/>
  <c r="R585" i="11"/>
  <c r="S585" i="11" s="1"/>
  <c r="O586" i="11"/>
  <c r="P586" i="11"/>
  <c r="S586" i="11"/>
  <c r="O587" i="11"/>
  <c r="P587" i="11"/>
  <c r="R587" i="11"/>
  <c r="S587" i="11" s="1"/>
  <c r="O588" i="11"/>
  <c r="P588" i="11"/>
  <c r="R588" i="11"/>
  <c r="S588" i="11" s="1"/>
  <c r="O589" i="11"/>
  <c r="P589" i="11"/>
  <c r="R589" i="11"/>
  <c r="S589" i="11" s="1"/>
  <c r="O590" i="11"/>
  <c r="P590" i="11"/>
  <c r="R590" i="11"/>
  <c r="S590" i="11" s="1"/>
  <c r="M591" i="11"/>
  <c r="P591" i="11" s="1"/>
  <c r="R591" i="11"/>
  <c r="S591" i="11" s="1"/>
  <c r="M592" i="11"/>
  <c r="P592" i="11" s="1"/>
  <c r="S592" i="11"/>
  <c r="M593" i="11"/>
  <c r="P593" i="11" s="1"/>
  <c r="S593" i="11"/>
  <c r="M594" i="11"/>
  <c r="O594" i="11" s="1"/>
  <c r="S594" i="11"/>
  <c r="M595" i="11"/>
  <c r="N595" i="11"/>
  <c r="S595" i="11"/>
  <c r="M596" i="11"/>
  <c r="S596" i="11"/>
  <c r="M597" i="11"/>
  <c r="S597" i="11"/>
  <c r="M598" i="11"/>
  <c r="R598" i="11"/>
  <c r="S598" i="11" s="1"/>
  <c r="M599" i="11"/>
  <c r="O599" i="11" s="1"/>
  <c r="S599" i="11"/>
  <c r="M600" i="11"/>
  <c r="R600" i="11"/>
  <c r="S600" i="11" s="1"/>
  <c r="M601" i="11"/>
  <c r="O601" i="11" s="1"/>
  <c r="S601" i="11"/>
  <c r="M602" i="11"/>
  <c r="P602" i="11" s="1"/>
  <c r="S602" i="11"/>
  <c r="M603" i="11"/>
  <c r="P603" i="11" s="1"/>
  <c r="S603" i="11"/>
  <c r="M604" i="11"/>
  <c r="S604" i="11"/>
  <c r="M605" i="11"/>
  <c r="P605" i="11" s="1"/>
  <c r="S605" i="11"/>
  <c r="M606" i="11"/>
  <c r="P606" i="11" s="1"/>
  <c r="S606" i="11"/>
  <c r="M607" i="11"/>
  <c r="S607" i="11"/>
  <c r="M608" i="11"/>
  <c r="P608" i="11" s="1"/>
  <c r="S608" i="11"/>
  <c r="M609" i="11"/>
  <c r="P609" i="11" s="1"/>
  <c r="S609" i="11"/>
  <c r="M610" i="11"/>
  <c r="S610" i="11"/>
  <c r="M611" i="11"/>
  <c r="O611" i="11" s="1"/>
  <c r="S611" i="11"/>
  <c r="M612" i="11"/>
  <c r="P612" i="11" s="1"/>
  <c r="R612" i="11"/>
  <c r="S612" i="11" s="1"/>
  <c r="M613" i="11"/>
  <c r="S613" i="11"/>
  <c r="M614" i="11"/>
  <c r="S614" i="11"/>
  <c r="M615" i="11"/>
  <c r="R615" i="11"/>
  <c r="S615" i="11" s="1"/>
  <c r="O616" i="11"/>
  <c r="P616" i="11"/>
  <c r="R616" i="11"/>
  <c r="S616" i="11" s="1"/>
  <c r="M617" i="11"/>
  <c r="O617" i="11" s="1"/>
  <c r="S617" i="11"/>
  <c r="M618" i="11"/>
  <c r="O618" i="11" s="1"/>
  <c r="R618" i="11"/>
  <c r="S618" i="11" s="1"/>
  <c r="M619" i="11"/>
  <c r="P619" i="11" s="1"/>
  <c r="R619" i="11"/>
  <c r="S619" i="11" s="1"/>
  <c r="M620" i="11"/>
  <c r="R620" i="11"/>
  <c r="S620" i="11" s="1"/>
  <c r="M621" i="11"/>
  <c r="O621" i="11" s="1"/>
  <c r="R621" i="11"/>
  <c r="S621" i="11" s="1"/>
  <c r="O622" i="11"/>
  <c r="P622" i="11"/>
  <c r="R622" i="11"/>
  <c r="S622" i="11" s="1"/>
  <c r="O623" i="11"/>
  <c r="P623" i="11"/>
  <c r="S623" i="11"/>
  <c r="O624" i="11"/>
  <c r="P624" i="11"/>
  <c r="S624" i="11"/>
  <c r="M625" i="11"/>
  <c r="O625" i="11" s="1"/>
  <c r="S625" i="11"/>
  <c r="M626" i="11"/>
  <c r="S626" i="11"/>
  <c r="M627" i="11"/>
  <c r="P627" i="11" s="1"/>
  <c r="S627" i="11"/>
  <c r="O628" i="11"/>
  <c r="P628" i="11"/>
  <c r="S628" i="11"/>
  <c r="O629" i="11"/>
  <c r="P629" i="11"/>
  <c r="R629" i="11"/>
  <c r="S629" i="11" s="1"/>
  <c r="O630" i="11"/>
  <c r="P630" i="11"/>
  <c r="S630" i="11"/>
  <c r="O631" i="11"/>
  <c r="P631" i="11"/>
  <c r="R631" i="11"/>
  <c r="S631" i="11" s="1"/>
  <c r="O632" i="11"/>
  <c r="P632" i="11"/>
  <c r="S632" i="11"/>
  <c r="O633" i="11"/>
  <c r="P633" i="11"/>
  <c r="R633" i="11"/>
  <c r="S633" i="11" s="1"/>
  <c r="M634" i="11"/>
  <c r="S634" i="11"/>
  <c r="O635" i="11"/>
  <c r="P635" i="11"/>
  <c r="S635" i="11"/>
  <c r="O636" i="11"/>
  <c r="P636" i="11"/>
  <c r="S636" i="11"/>
  <c r="O637" i="11"/>
  <c r="P637" i="11"/>
  <c r="S637" i="11"/>
  <c r="O638" i="11"/>
  <c r="P638" i="11"/>
  <c r="S638" i="11"/>
  <c r="M639" i="11"/>
  <c r="P639" i="11" s="1"/>
  <c r="R639" i="11"/>
  <c r="S639" i="11" s="1"/>
  <c r="M640" i="11"/>
  <c r="O640" i="11" s="1"/>
  <c r="S640" i="11"/>
  <c r="O641" i="11"/>
  <c r="P641" i="11"/>
  <c r="S641" i="11"/>
  <c r="O642" i="11"/>
  <c r="P642" i="11"/>
  <c r="S642" i="11"/>
  <c r="O643" i="11"/>
  <c r="P643" i="11"/>
  <c r="R643" i="11"/>
  <c r="S643" i="11" s="1"/>
  <c r="O644" i="11"/>
  <c r="P644" i="11"/>
  <c r="S644" i="11"/>
  <c r="O645" i="11"/>
  <c r="P645" i="11"/>
  <c r="S645" i="11"/>
  <c r="O646" i="11"/>
  <c r="P646" i="11"/>
  <c r="R646" i="11"/>
  <c r="S646" i="11" s="1"/>
  <c r="O647" i="11"/>
  <c r="P647" i="11"/>
  <c r="R647" i="11"/>
  <c r="S647" i="11" s="1"/>
  <c r="O648" i="11"/>
  <c r="P648" i="11"/>
  <c r="S648" i="11"/>
  <c r="N649" i="11"/>
  <c r="P649" i="11" s="1"/>
  <c r="R649" i="11"/>
  <c r="S649" i="11" s="1"/>
  <c r="O650" i="11"/>
  <c r="P650" i="11"/>
  <c r="R650" i="11"/>
  <c r="S650" i="11" s="1"/>
  <c r="O651" i="11"/>
  <c r="P651" i="11"/>
  <c r="R651" i="11"/>
  <c r="S651" i="11" s="1"/>
  <c r="O652" i="11"/>
  <c r="P652" i="11"/>
  <c r="S652" i="11"/>
  <c r="M653" i="11"/>
  <c r="P653" i="11" s="1"/>
  <c r="R653" i="11"/>
  <c r="S653" i="11" s="1"/>
  <c r="M654" i="11"/>
  <c r="P654" i="11" s="1"/>
  <c r="S654" i="11"/>
  <c r="M655" i="11"/>
  <c r="P655" i="11" s="1"/>
  <c r="S655" i="11"/>
  <c r="M656" i="11"/>
  <c r="O656" i="11" s="1"/>
  <c r="S656" i="11"/>
  <c r="M657" i="11"/>
  <c r="P657" i="11" s="1"/>
  <c r="S657" i="11"/>
  <c r="M658" i="11"/>
  <c r="O658" i="11" s="1"/>
  <c r="S658" i="11"/>
  <c r="M659" i="11"/>
  <c r="S659" i="11"/>
  <c r="M660" i="11"/>
  <c r="O660" i="11" s="1"/>
  <c r="R660" i="11"/>
  <c r="S660" i="11" s="1"/>
  <c r="M661" i="11"/>
  <c r="O661" i="11" s="1"/>
  <c r="S661" i="11"/>
  <c r="M662" i="11"/>
  <c r="O662" i="11" s="1"/>
  <c r="R662" i="11"/>
  <c r="S662" i="11" s="1"/>
  <c r="M663" i="11"/>
  <c r="O663" i="11" s="1"/>
  <c r="S663" i="11"/>
  <c r="M664" i="11"/>
  <c r="O664" i="11" s="1"/>
  <c r="R664" i="11"/>
  <c r="S664" i="11" s="1"/>
  <c r="M665" i="11"/>
  <c r="O665" i="11" s="1"/>
  <c r="S665" i="11"/>
  <c r="M666" i="11"/>
  <c r="S666" i="11"/>
  <c r="M667" i="11"/>
  <c r="P667" i="11" s="1"/>
  <c r="S667" i="11"/>
  <c r="M668" i="11"/>
  <c r="P668" i="11" s="1"/>
  <c r="S668" i="11"/>
  <c r="M669" i="11"/>
  <c r="O669" i="11" s="1"/>
  <c r="S669" i="11"/>
  <c r="M670" i="11"/>
  <c r="P670" i="11" s="1"/>
  <c r="S670" i="11"/>
  <c r="M671" i="11"/>
  <c r="O671" i="11" s="1"/>
  <c r="S671" i="11"/>
  <c r="M672" i="11"/>
  <c r="P672" i="11" s="1"/>
  <c r="S672" i="11"/>
  <c r="M673" i="11"/>
  <c r="O673" i="11" s="1"/>
  <c r="S673" i="11"/>
  <c r="M674" i="11"/>
  <c r="R674" i="11"/>
  <c r="S674" i="11" s="1"/>
  <c r="M675" i="11"/>
  <c r="P675" i="11" s="1"/>
  <c r="S675" i="11"/>
  <c r="M676" i="11"/>
  <c r="P676" i="11" s="1"/>
  <c r="S676" i="11"/>
  <c r="M677" i="11"/>
  <c r="R677" i="11"/>
  <c r="S677" i="11" s="1"/>
  <c r="M678" i="11"/>
  <c r="P678" i="11" s="1"/>
  <c r="R678" i="11"/>
  <c r="S678" i="11" s="1"/>
  <c r="M679" i="11"/>
  <c r="O679" i="11" s="1"/>
  <c r="S679" i="11"/>
  <c r="M680" i="11"/>
  <c r="O680" i="11" s="1"/>
  <c r="R680" i="11"/>
  <c r="S680" i="11" s="1"/>
  <c r="M681" i="11"/>
  <c r="O681" i="11" s="1"/>
  <c r="R681" i="11"/>
  <c r="S681" i="11" s="1"/>
  <c r="M682" i="11"/>
  <c r="O682" i="11" s="1"/>
  <c r="R682" i="11"/>
  <c r="S682" i="11" s="1"/>
  <c r="M683" i="11"/>
  <c r="S683" i="11"/>
  <c r="O684" i="11"/>
  <c r="P684" i="11"/>
  <c r="R684" i="11"/>
  <c r="S684" i="11" s="1"/>
  <c r="O685" i="11"/>
  <c r="P685" i="11"/>
  <c r="S685" i="11"/>
  <c r="O686" i="11"/>
  <c r="P686" i="11"/>
  <c r="S686" i="11"/>
  <c r="M687" i="11"/>
  <c r="O687" i="11" s="1"/>
  <c r="S687" i="11"/>
  <c r="M688" i="11"/>
  <c r="P688" i="11" s="1"/>
  <c r="S688" i="11"/>
  <c r="M689" i="11"/>
  <c r="O689" i="11" s="1"/>
  <c r="S689" i="11"/>
  <c r="M690" i="11"/>
  <c r="P690" i="11" s="1"/>
  <c r="S690" i="11"/>
  <c r="O691" i="11"/>
  <c r="P691" i="11"/>
  <c r="R691" i="11"/>
  <c r="S691" i="11" s="1"/>
  <c r="O692" i="11"/>
  <c r="P692" i="11"/>
  <c r="S692" i="11"/>
  <c r="O693" i="11"/>
  <c r="P693" i="11"/>
  <c r="R693" i="11"/>
  <c r="S693" i="11" s="1"/>
  <c r="M694" i="11"/>
  <c r="P694" i="11" s="1"/>
  <c r="S694" i="11"/>
  <c r="O695" i="11"/>
  <c r="P695" i="11"/>
  <c r="R695" i="11"/>
  <c r="S695" i="11" s="1"/>
  <c r="O696" i="11"/>
  <c r="P696" i="11"/>
  <c r="S696" i="11"/>
  <c r="O697" i="11"/>
  <c r="P697" i="11"/>
  <c r="S697" i="11"/>
  <c r="O698" i="11"/>
  <c r="P698" i="11"/>
  <c r="S698" i="11"/>
  <c r="O699" i="11"/>
  <c r="P699" i="11"/>
  <c r="S699" i="11"/>
  <c r="O700" i="11"/>
  <c r="P700" i="11"/>
  <c r="S700" i="11"/>
  <c r="M701" i="11"/>
  <c r="P701" i="11" s="1"/>
  <c r="S701" i="11"/>
  <c r="M702" i="11"/>
  <c r="O702" i="11" s="1"/>
  <c r="S702" i="11"/>
  <c r="M703" i="11"/>
  <c r="O703" i="11" s="1"/>
  <c r="S703" i="11"/>
  <c r="O704" i="11"/>
  <c r="P704" i="11"/>
  <c r="S704" i="11"/>
  <c r="O705" i="11"/>
  <c r="P705" i="11"/>
  <c r="R705" i="11"/>
  <c r="S705" i="11" s="1"/>
  <c r="O706" i="11"/>
  <c r="P706" i="11"/>
  <c r="S706" i="11"/>
  <c r="M707" i="11"/>
  <c r="P707" i="11" s="1"/>
  <c r="S707" i="11"/>
  <c r="M708" i="11"/>
  <c r="O708" i="11" s="1"/>
  <c r="R708" i="11"/>
  <c r="S708" i="11" s="1"/>
  <c r="O709" i="11"/>
  <c r="P709" i="11"/>
  <c r="R709" i="11"/>
  <c r="S709" i="11" s="1"/>
  <c r="M710" i="11"/>
  <c r="O710" i="11" s="1"/>
  <c r="S710" i="11"/>
  <c r="O711" i="11"/>
  <c r="P711" i="11"/>
  <c r="R711" i="11"/>
  <c r="S711" i="11" s="1"/>
  <c r="O712" i="11"/>
  <c r="P712" i="11"/>
  <c r="R712" i="11"/>
  <c r="S712" i="11" s="1"/>
  <c r="O713" i="11"/>
  <c r="P713" i="11"/>
  <c r="R713" i="11"/>
  <c r="S713" i="11" s="1"/>
  <c r="O714" i="11"/>
  <c r="P714" i="11"/>
  <c r="S714" i="11"/>
  <c r="M715" i="11"/>
  <c r="O715" i="11" s="1"/>
  <c r="R715" i="11"/>
  <c r="S715" i="11" s="1"/>
  <c r="M716" i="11"/>
  <c r="O716" i="11" s="1"/>
  <c r="S716" i="11"/>
  <c r="O717" i="11"/>
  <c r="P717" i="11"/>
  <c r="S717" i="11"/>
  <c r="M718" i="11"/>
  <c r="O718" i="11" s="1"/>
  <c r="S718" i="11"/>
  <c r="O719" i="11"/>
  <c r="P719" i="11"/>
  <c r="S719" i="11"/>
  <c r="O720" i="11"/>
  <c r="P720" i="11"/>
  <c r="S720" i="11"/>
  <c r="O721" i="11"/>
  <c r="P721" i="11"/>
  <c r="R721" i="11"/>
  <c r="S721" i="11" s="1"/>
  <c r="M722" i="11"/>
  <c r="O722" i="11" s="1"/>
  <c r="R722" i="11"/>
  <c r="S722" i="11" s="1"/>
  <c r="O723" i="11"/>
  <c r="P723" i="11"/>
  <c r="S723" i="11"/>
  <c r="O724" i="11"/>
  <c r="P724" i="11"/>
  <c r="R724" i="11"/>
  <c r="S724" i="11" s="1"/>
  <c r="M725" i="11"/>
  <c r="O725" i="11" s="1"/>
  <c r="S725" i="11"/>
  <c r="O726" i="11"/>
  <c r="P726" i="11"/>
  <c r="R726" i="11"/>
  <c r="S726" i="11" s="1"/>
  <c r="O727" i="11"/>
  <c r="P727" i="11"/>
  <c r="S727" i="11"/>
  <c r="M728" i="11"/>
  <c r="O728" i="11" s="1"/>
  <c r="S728" i="11"/>
  <c r="O729" i="11"/>
  <c r="P729" i="11"/>
  <c r="S729" i="11"/>
  <c r="M730" i="11"/>
  <c r="O730" i="11" s="1"/>
  <c r="S730" i="11"/>
  <c r="O731" i="11"/>
  <c r="P731" i="11"/>
  <c r="S731" i="11"/>
  <c r="M732" i="11"/>
  <c r="O732" i="11" s="1"/>
  <c r="S732" i="11"/>
  <c r="O733" i="11"/>
  <c r="P733" i="11"/>
  <c r="S733" i="11"/>
  <c r="O734" i="11"/>
  <c r="P734" i="11"/>
  <c r="S734" i="11"/>
  <c r="O735" i="11"/>
  <c r="P735" i="11"/>
  <c r="S735" i="11"/>
  <c r="O736" i="11"/>
  <c r="P736" i="11"/>
  <c r="R736" i="11"/>
  <c r="S736" i="11" s="1"/>
  <c r="O737" i="11"/>
  <c r="P737" i="11"/>
  <c r="S737" i="11"/>
  <c r="M738" i="11"/>
  <c r="P738" i="11" s="1"/>
  <c r="S738" i="11"/>
  <c r="M739" i="11"/>
  <c r="O739" i="11" s="1"/>
  <c r="R739" i="11"/>
  <c r="S739" i="11" s="1"/>
  <c r="M740" i="11"/>
  <c r="O740" i="11" s="1"/>
  <c r="R740" i="11"/>
  <c r="S740" i="11" s="1"/>
  <c r="O741" i="11"/>
  <c r="P741" i="11"/>
  <c r="S741" i="11"/>
  <c r="O742" i="11"/>
  <c r="P742" i="11"/>
  <c r="R742" i="11"/>
  <c r="S742" i="11" s="1"/>
  <c r="O743" i="11"/>
  <c r="P743" i="11"/>
  <c r="R743" i="11"/>
  <c r="S743" i="11" s="1"/>
  <c r="O744" i="11"/>
  <c r="P744" i="11"/>
  <c r="R744" i="11"/>
  <c r="S744" i="11" s="1"/>
  <c r="M745" i="11"/>
  <c r="O745" i="11" s="1"/>
  <c r="S745" i="11"/>
  <c r="O746" i="11"/>
  <c r="P746" i="11"/>
  <c r="R746" i="11"/>
  <c r="S746" i="11" s="1"/>
  <c r="O747" i="11"/>
  <c r="P747" i="11"/>
  <c r="R747" i="11"/>
  <c r="S747" i="11" s="1"/>
  <c r="O748" i="11"/>
  <c r="P748" i="11"/>
  <c r="S748" i="11"/>
  <c r="O749" i="11"/>
  <c r="P749" i="11"/>
  <c r="S749" i="11"/>
  <c r="O750" i="11"/>
  <c r="P750" i="11"/>
  <c r="S750" i="11"/>
  <c r="O751" i="11"/>
  <c r="P751" i="11"/>
  <c r="S751" i="11"/>
  <c r="O752" i="11"/>
  <c r="P752" i="11"/>
  <c r="S752" i="11"/>
  <c r="O753" i="11"/>
  <c r="P753" i="11"/>
  <c r="R753" i="11"/>
  <c r="S753" i="11" s="1"/>
  <c r="O754" i="11"/>
  <c r="P754" i="11"/>
  <c r="S754" i="11"/>
  <c r="O755" i="11"/>
  <c r="P755" i="11"/>
  <c r="R755" i="11"/>
  <c r="S755" i="11" s="1"/>
  <c r="M756" i="11"/>
  <c r="P756" i="11" s="1"/>
  <c r="S756" i="11"/>
  <c r="O757" i="11"/>
  <c r="P757" i="11"/>
  <c r="R757" i="11"/>
  <c r="S757" i="11" s="1"/>
  <c r="M758" i="11"/>
  <c r="O758" i="11" s="1"/>
  <c r="S758" i="11"/>
  <c r="O759" i="11"/>
  <c r="P759" i="11"/>
  <c r="S759" i="11"/>
  <c r="O760" i="11"/>
  <c r="P760" i="11"/>
  <c r="S760" i="11"/>
  <c r="O761" i="11"/>
  <c r="P761" i="11"/>
  <c r="S761" i="11"/>
  <c r="O762" i="11"/>
  <c r="P762" i="11"/>
  <c r="R762" i="11"/>
  <c r="S762" i="11" s="1"/>
  <c r="M763" i="11"/>
  <c r="O763" i="11" s="1"/>
  <c r="S763" i="11"/>
  <c r="O764" i="11"/>
  <c r="P764" i="11"/>
  <c r="S764" i="11"/>
  <c r="M765" i="11"/>
  <c r="O765" i="11" s="1"/>
  <c r="S765" i="11"/>
  <c r="O766" i="11"/>
  <c r="P766" i="11"/>
  <c r="S766" i="11"/>
  <c r="O767" i="11"/>
  <c r="P767" i="11"/>
  <c r="R767" i="11"/>
  <c r="S767" i="11" s="1"/>
  <c r="O768" i="11"/>
  <c r="P768" i="11"/>
  <c r="S768" i="11"/>
  <c r="O769" i="11"/>
  <c r="P769" i="11"/>
  <c r="S769" i="11"/>
  <c r="M770" i="11"/>
  <c r="P770" i="11" s="1"/>
  <c r="R770" i="11"/>
  <c r="S770" i="11" s="1"/>
  <c r="O771" i="11"/>
  <c r="P771" i="11"/>
  <c r="R771" i="11"/>
  <c r="S771" i="11" s="1"/>
  <c r="M772" i="11"/>
  <c r="O772" i="11" s="1"/>
  <c r="S772" i="11"/>
  <c r="O773" i="11"/>
  <c r="P773" i="11"/>
  <c r="R773" i="11"/>
  <c r="S773" i="11" s="1"/>
  <c r="O774" i="11"/>
  <c r="P774" i="11"/>
  <c r="R774" i="11"/>
  <c r="S774" i="11" s="1"/>
  <c r="O775" i="11"/>
  <c r="P775" i="11"/>
  <c r="R775" i="11"/>
  <c r="S775" i="11" s="1"/>
  <c r="O776" i="11"/>
  <c r="P776" i="11"/>
  <c r="S776" i="11"/>
  <c r="O777" i="11"/>
  <c r="P777" i="11"/>
  <c r="R777" i="11"/>
  <c r="S777" i="11" s="1"/>
  <c r="O778" i="11"/>
  <c r="P778" i="11"/>
  <c r="S778" i="11"/>
  <c r="O779" i="11"/>
  <c r="P779" i="11"/>
  <c r="S779" i="11"/>
  <c r="O780" i="11"/>
  <c r="P780" i="11"/>
  <c r="S780" i="11"/>
  <c r="O781" i="11"/>
  <c r="P781" i="11"/>
  <c r="S781" i="11"/>
  <c r="O782" i="11"/>
  <c r="P782" i="11"/>
  <c r="S782" i="11"/>
  <c r="O783" i="11"/>
  <c r="P783" i="11"/>
  <c r="S783" i="11"/>
  <c r="O784" i="11"/>
  <c r="P784" i="11"/>
  <c r="R784" i="11"/>
  <c r="S784" i="11" s="1"/>
  <c r="O785" i="11"/>
  <c r="P785" i="11"/>
  <c r="S785" i="11"/>
  <c r="O786" i="11"/>
  <c r="P786" i="11"/>
  <c r="R786" i="11"/>
  <c r="S786" i="11" s="1"/>
  <c r="O787" i="11"/>
  <c r="P787" i="11"/>
  <c r="S787" i="11"/>
  <c r="O788" i="11"/>
  <c r="P788" i="11"/>
  <c r="R788" i="11"/>
  <c r="S788" i="11" s="1"/>
  <c r="M789" i="11"/>
  <c r="O789" i="11" s="1"/>
  <c r="S789" i="11"/>
  <c r="O790" i="11"/>
  <c r="P790" i="11"/>
  <c r="S790" i="11"/>
  <c r="O791" i="11"/>
  <c r="P791" i="11"/>
  <c r="S791" i="11"/>
  <c r="O792" i="11"/>
  <c r="P792" i="11"/>
  <c r="S792" i="11"/>
  <c r="O793" i="11"/>
  <c r="P793" i="11"/>
  <c r="S793" i="11"/>
  <c r="O794" i="11"/>
  <c r="P794" i="11"/>
  <c r="S794" i="11"/>
  <c r="M795" i="11"/>
  <c r="O795" i="11" s="1"/>
  <c r="S795" i="11"/>
  <c r="O796" i="11"/>
  <c r="P796" i="11"/>
  <c r="R796" i="11"/>
  <c r="S796" i="11" s="1"/>
  <c r="M797" i="11"/>
  <c r="O797" i="11" s="1"/>
  <c r="S797" i="11"/>
  <c r="M798" i="11"/>
  <c r="O798" i="11" s="1"/>
  <c r="R798" i="11"/>
  <c r="S798" i="11" s="1"/>
  <c r="O799" i="11"/>
  <c r="P799" i="11"/>
  <c r="S799" i="11"/>
  <c r="O800" i="11"/>
  <c r="P800" i="11"/>
  <c r="S800" i="11"/>
  <c r="O801" i="11"/>
  <c r="P801" i="11"/>
  <c r="R801" i="11"/>
  <c r="S801" i="11" s="1"/>
  <c r="M802" i="11"/>
  <c r="O802" i="11" s="1"/>
  <c r="S802" i="11"/>
  <c r="M803" i="11"/>
  <c r="O803" i="11" s="1"/>
  <c r="S803" i="11"/>
  <c r="O804" i="11"/>
  <c r="P804" i="11"/>
  <c r="R804" i="11"/>
  <c r="S804" i="11" s="1"/>
  <c r="O805" i="11"/>
  <c r="P805" i="11"/>
  <c r="R805" i="11"/>
  <c r="S805" i="11" s="1"/>
  <c r="O806" i="11"/>
  <c r="P806" i="11"/>
  <c r="R806" i="11"/>
  <c r="S806" i="11" s="1"/>
  <c r="O807" i="11"/>
  <c r="P807" i="11"/>
  <c r="R807" i="11"/>
  <c r="S807" i="11" s="1"/>
  <c r="M808" i="11"/>
  <c r="O808" i="11" s="1"/>
  <c r="R808" i="11"/>
  <c r="S808" i="11" s="1"/>
  <c r="M809" i="11"/>
  <c r="P809" i="11" s="1"/>
  <c r="S809" i="11"/>
  <c r="M810" i="11"/>
  <c r="O810" i="11" s="1"/>
  <c r="S810" i="11"/>
  <c r="M811" i="11"/>
  <c r="P811" i="11" s="1"/>
  <c r="S811" i="11"/>
  <c r="M812" i="11"/>
  <c r="O812" i="11" s="1"/>
  <c r="R812" i="11"/>
  <c r="S812" i="11" s="1"/>
  <c r="M813" i="11"/>
  <c r="O813" i="11" s="1"/>
  <c r="S813" i="11"/>
  <c r="M814" i="11"/>
  <c r="P814" i="11" s="1"/>
  <c r="R814" i="11"/>
  <c r="S814" i="11" s="1"/>
  <c r="M815" i="11"/>
  <c r="O815" i="11" s="1"/>
  <c r="R815" i="11"/>
  <c r="S815" i="11" s="1"/>
  <c r="M816" i="11"/>
  <c r="O816" i="11" s="1"/>
  <c r="R816" i="11"/>
  <c r="S816" i="11" s="1"/>
  <c r="M817" i="11"/>
  <c r="O817" i="11" s="1"/>
  <c r="S817" i="11"/>
  <c r="M818" i="11"/>
  <c r="P818" i="11" s="1"/>
  <c r="S818" i="11"/>
  <c r="M819" i="11"/>
  <c r="O819" i="11" s="1"/>
  <c r="R819" i="11"/>
  <c r="S819" i="11" s="1"/>
  <c r="M820" i="11"/>
  <c r="O820" i="11" s="1"/>
  <c r="S820" i="11"/>
  <c r="M821" i="11"/>
  <c r="O821" i="11" s="1"/>
  <c r="S821" i="11"/>
  <c r="M822" i="11"/>
  <c r="O822" i="11" s="1"/>
  <c r="S822" i="11"/>
  <c r="M823" i="11"/>
  <c r="O823" i="11" s="1"/>
  <c r="S823" i="11"/>
  <c r="M824" i="11"/>
  <c r="O824" i="11" s="1"/>
  <c r="S824" i="11"/>
  <c r="M825" i="11"/>
  <c r="P825" i="11" s="1"/>
  <c r="S825" i="11"/>
  <c r="M826" i="11"/>
  <c r="O826" i="11" s="1"/>
  <c r="S826" i="11"/>
  <c r="M827" i="11"/>
  <c r="O827" i="11" s="1"/>
  <c r="S827" i="11"/>
  <c r="M828" i="11"/>
  <c r="O828" i="11" s="1"/>
  <c r="S828" i="11"/>
  <c r="M829" i="11"/>
  <c r="P829" i="11" s="1"/>
  <c r="R829" i="11"/>
  <c r="S829" i="11" s="1"/>
  <c r="M830" i="11"/>
  <c r="P830" i="11" s="1"/>
  <c r="R830" i="11"/>
  <c r="S830" i="11" s="1"/>
  <c r="M831" i="11"/>
  <c r="P831" i="11" s="1"/>
  <c r="S831" i="11"/>
  <c r="M832" i="11"/>
  <c r="O832" i="11" s="1"/>
  <c r="R832" i="11"/>
  <c r="S832" i="11" s="1"/>
  <c r="M833" i="11"/>
  <c r="O833" i="11" s="1"/>
  <c r="R833" i="11"/>
  <c r="S833" i="11" s="1"/>
  <c r="M834" i="11"/>
  <c r="P834" i="11" s="1"/>
  <c r="S834" i="11"/>
  <c r="M835" i="11"/>
  <c r="P835" i="11" s="1"/>
  <c r="R835" i="11"/>
  <c r="S835" i="11" s="1"/>
  <c r="M836" i="11"/>
  <c r="O836" i="11" s="1"/>
  <c r="R836" i="11"/>
  <c r="S836" i="11" s="1"/>
  <c r="M837" i="11"/>
  <c r="O837" i="11" s="1"/>
  <c r="R837" i="11"/>
  <c r="S837" i="11" s="1"/>
  <c r="M838" i="11"/>
  <c r="O838" i="11" s="1"/>
  <c r="S838" i="11"/>
  <c r="M839" i="11"/>
  <c r="P839" i="11" s="1"/>
  <c r="R839" i="11"/>
  <c r="S839" i="11" s="1"/>
  <c r="M840" i="11"/>
  <c r="P840" i="11" s="1"/>
  <c r="S840" i="11"/>
  <c r="M841" i="11"/>
  <c r="O841" i="11" s="1"/>
  <c r="S841" i="11"/>
  <c r="M842" i="11"/>
  <c r="P842" i="11" s="1"/>
  <c r="S842" i="11"/>
  <c r="M843" i="11"/>
  <c r="O843" i="11" s="1"/>
  <c r="S843" i="11"/>
  <c r="M844" i="11"/>
  <c r="P844" i="11" s="1"/>
  <c r="S844" i="11"/>
  <c r="M845" i="11"/>
  <c r="O845" i="11" s="1"/>
  <c r="R845" i="11"/>
  <c r="S845" i="11" s="1"/>
  <c r="M846" i="11"/>
  <c r="O846" i="11" s="1"/>
  <c r="R846" i="11"/>
  <c r="S846" i="11" s="1"/>
  <c r="O847" i="11"/>
  <c r="P847" i="11"/>
  <c r="R847" i="11"/>
  <c r="S847" i="11" s="1"/>
  <c r="M848" i="11"/>
  <c r="O848" i="11" s="1"/>
  <c r="S848" i="11"/>
  <c r="M849" i="11"/>
  <c r="P849" i="11" s="1"/>
  <c r="S849" i="11"/>
  <c r="M850" i="11"/>
  <c r="O850" i="11" s="1"/>
  <c r="R850" i="11"/>
  <c r="S850" i="11" s="1"/>
  <c r="M851" i="11"/>
  <c r="O851" i="11" s="1"/>
  <c r="S851" i="11"/>
  <c r="M852" i="11"/>
  <c r="P852" i="11" s="1"/>
  <c r="S852" i="11"/>
  <c r="M853" i="11"/>
  <c r="O853" i="11" s="1"/>
  <c r="S853" i="11"/>
  <c r="M854" i="11"/>
  <c r="P854" i="11" s="1"/>
  <c r="S854" i="11"/>
  <c r="M855" i="11"/>
  <c r="O855" i="11" s="1"/>
  <c r="S855" i="11"/>
  <c r="M856" i="11"/>
  <c r="P856" i="11" s="1"/>
  <c r="S856" i="11"/>
  <c r="M857" i="11"/>
  <c r="O857" i="11" s="1"/>
  <c r="S857" i="11"/>
  <c r="M858" i="11"/>
  <c r="P858" i="11" s="1"/>
  <c r="S858" i="11"/>
  <c r="M859" i="11"/>
  <c r="O859" i="11" s="1"/>
  <c r="S859" i="11"/>
  <c r="M860" i="11"/>
  <c r="P860" i="11" s="1"/>
  <c r="R860" i="11"/>
  <c r="S860" i="11" s="1"/>
  <c r="M861" i="11"/>
  <c r="O861" i="11" s="1"/>
  <c r="S861" i="11"/>
  <c r="M862" i="11"/>
  <c r="N862" i="11"/>
  <c r="S862" i="11"/>
  <c r="M863" i="11"/>
  <c r="O863" i="11" s="1"/>
  <c r="R863" i="11"/>
  <c r="S863" i="11" s="1"/>
  <c r="M864" i="11"/>
  <c r="O864" i="11" s="1"/>
  <c r="R864" i="11"/>
  <c r="S864" i="11" s="1"/>
  <c r="M865" i="11"/>
  <c r="O865" i="11" s="1"/>
  <c r="S865" i="11"/>
  <c r="M866" i="11"/>
  <c r="O866" i="11" s="1"/>
  <c r="R866" i="11"/>
  <c r="S866" i="11" s="1"/>
  <c r="M867" i="11"/>
  <c r="O867" i="11" s="1"/>
  <c r="R867" i="11"/>
  <c r="S867" i="11" s="1"/>
  <c r="M868" i="11"/>
  <c r="O868" i="11" s="1"/>
  <c r="R868" i="11"/>
  <c r="S868" i="11" s="1"/>
  <c r="M869" i="11"/>
  <c r="O869" i="11" s="1"/>
  <c r="S869" i="11"/>
  <c r="M870" i="11"/>
  <c r="O870" i="11" s="1"/>
  <c r="R870" i="11"/>
  <c r="S870" i="11" s="1"/>
  <c r="M871" i="11"/>
  <c r="P871" i="11" s="1"/>
  <c r="S871" i="11"/>
  <c r="M872" i="11"/>
  <c r="O872" i="11" s="1"/>
  <c r="S872" i="11"/>
  <c r="M873" i="11"/>
  <c r="P873" i="11" s="1"/>
  <c r="S873" i="11"/>
  <c r="M874" i="11"/>
  <c r="O874" i="11" s="1"/>
  <c r="S874" i="11"/>
  <c r="M875" i="11"/>
  <c r="P875" i="11" s="1"/>
  <c r="S875" i="11"/>
  <c r="M876" i="11"/>
  <c r="O876" i="11" s="1"/>
  <c r="R876" i="11"/>
  <c r="S876" i="11" s="1"/>
  <c r="M877" i="11"/>
  <c r="O877" i="11" s="1"/>
  <c r="R877" i="11"/>
  <c r="S877" i="11" s="1"/>
  <c r="M878" i="11"/>
  <c r="O878" i="11" s="1"/>
  <c r="R878" i="11"/>
  <c r="S878" i="11" s="1"/>
  <c r="M879" i="11"/>
  <c r="P879" i="11" s="1"/>
  <c r="S879" i="11"/>
  <c r="M880" i="11"/>
  <c r="O880" i="11" s="1"/>
  <c r="S880" i="11"/>
  <c r="M881" i="11"/>
  <c r="P881" i="11" s="1"/>
  <c r="R881" i="11"/>
  <c r="S881" i="11" s="1"/>
  <c r="M882" i="11"/>
  <c r="P882" i="11" s="1"/>
  <c r="S882" i="11"/>
  <c r="M883" i="11"/>
  <c r="O883" i="11" s="1"/>
  <c r="S883" i="11"/>
  <c r="M884" i="11"/>
  <c r="P884" i="11" s="1"/>
  <c r="S884" i="11"/>
  <c r="M885" i="11"/>
  <c r="O885" i="11" s="1"/>
  <c r="S885" i="11"/>
  <c r="M886" i="11"/>
  <c r="P886" i="11" s="1"/>
  <c r="S886" i="11"/>
  <c r="M887" i="11"/>
  <c r="O887" i="11" s="1"/>
  <c r="S887" i="11"/>
  <c r="M888" i="11"/>
  <c r="P888" i="11" s="1"/>
  <c r="S888" i="11"/>
  <c r="M889" i="11"/>
  <c r="O889" i="11" s="1"/>
  <c r="S889" i="11"/>
  <c r="M890" i="11"/>
  <c r="P890" i="11" s="1"/>
  <c r="S890" i="11"/>
  <c r="M891" i="11"/>
  <c r="O891" i="11" s="1"/>
  <c r="R891" i="11"/>
  <c r="S891" i="11" s="1"/>
  <c r="M892" i="11"/>
  <c r="O892" i="11" s="1"/>
  <c r="S892" i="11"/>
  <c r="M893" i="11"/>
  <c r="O893" i="11" s="1"/>
  <c r="S893" i="11"/>
  <c r="M894" i="11"/>
  <c r="O894" i="11" s="1"/>
  <c r="R894" i="11"/>
  <c r="S894" i="11" s="1"/>
  <c r="M895" i="11"/>
  <c r="O895" i="11" s="1"/>
  <c r="R895" i="11"/>
  <c r="S895" i="11" s="1"/>
  <c r="M896" i="11"/>
  <c r="O896" i="11" s="1"/>
  <c r="S896" i="11"/>
  <c r="M897" i="11"/>
  <c r="P897" i="11" s="1"/>
  <c r="R897" i="11"/>
  <c r="S897" i="11" s="1"/>
  <c r="M898" i="11"/>
  <c r="O898" i="11" s="1"/>
  <c r="R898" i="11"/>
  <c r="S898" i="11" s="1"/>
  <c r="M899" i="11"/>
  <c r="O899" i="11" s="1"/>
  <c r="R899" i="11"/>
  <c r="S899" i="11" s="1"/>
  <c r="M900" i="11"/>
  <c r="O900" i="11" s="1"/>
  <c r="S900" i="11"/>
  <c r="O901" i="11"/>
  <c r="P901" i="11"/>
  <c r="R901" i="11"/>
  <c r="S901" i="11" s="1"/>
  <c r="O902" i="11"/>
  <c r="P902" i="11"/>
  <c r="S902" i="11"/>
  <c r="M903" i="11"/>
  <c r="O903" i="11" s="1"/>
  <c r="S903" i="11"/>
  <c r="O904" i="11"/>
  <c r="P904" i="11"/>
  <c r="S904" i="11"/>
  <c r="O905" i="11"/>
  <c r="P905" i="11"/>
  <c r="S905" i="11"/>
  <c r="O906" i="11"/>
  <c r="P906" i="11"/>
  <c r="S906" i="11"/>
  <c r="O907" i="11"/>
  <c r="P907" i="11"/>
  <c r="R907" i="11"/>
  <c r="S907" i="11" s="1"/>
  <c r="O908" i="11"/>
  <c r="P908" i="11"/>
  <c r="R908" i="11"/>
  <c r="S908" i="11" s="1"/>
  <c r="M909" i="11"/>
  <c r="O909" i="11" s="1"/>
  <c r="R909" i="11"/>
  <c r="S909" i="11" s="1"/>
  <c r="O910" i="11"/>
  <c r="P910" i="11"/>
  <c r="R910" i="11"/>
  <c r="S910" i="11" s="1"/>
  <c r="M911" i="11"/>
  <c r="P911" i="11" s="1"/>
  <c r="S911" i="11"/>
  <c r="M912" i="11"/>
  <c r="O912" i="11" s="1"/>
  <c r="S912" i="11"/>
  <c r="O913" i="11"/>
  <c r="P913" i="11"/>
  <c r="S913" i="11"/>
  <c r="O914" i="11"/>
  <c r="P914" i="11"/>
  <c r="S914" i="11"/>
  <c r="M915" i="11"/>
  <c r="P915" i="11" s="1"/>
  <c r="S915" i="11"/>
  <c r="O916" i="11"/>
  <c r="P916" i="11"/>
  <c r="S916" i="11"/>
  <c r="O917" i="11"/>
  <c r="P917" i="11"/>
  <c r="S917" i="11"/>
  <c r="O918" i="11"/>
  <c r="P918" i="11"/>
  <c r="S918" i="11"/>
  <c r="O919" i="11"/>
  <c r="P919" i="11"/>
  <c r="S919" i="11"/>
  <c r="O920" i="11"/>
  <c r="P920" i="11"/>
  <c r="S920" i="11"/>
  <c r="M921" i="11"/>
  <c r="O921" i="11" s="1"/>
  <c r="S921" i="11"/>
  <c r="O922" i="11"/>
  <c r="P922" i="11"/>
  <c r="R922" i="11"/>
  <c r="S922" i="11" s="1"/>
  <c r="O923" i="11"/>
  <c r="P923" i="11"/>
  <c r="S923" i="11"/>
  <c r="O924" i="11"/>
  <c r="P924" i="11"/>
  <c r="S924" i="11"/>
  <c r="O925" i="11"/>
  <c r="P925" i="11"/>
  <c r="R925" i="11"/>
  <c r="S925" i="11" s="1"/>
  <c r="O926" i="11"/>
  <c r="P926" i="11"/>
  <c r="R926" i="11"/>
  <c r="S926" i="11" s="1"/>
  <c r="O927" i="11"/>
  <c r="P927" i="11"/>
  <c r="S927" i="11"/>
  <c r="O928" i="11"/>
  <c r="P928" i="11"/>
  <c r="R928" i="11"/>
  <c r="S928" i="11" s="1"/>
  <c r="O929" i="11"/>
  <c r="P929" i="11"/>
  <c r="R929" i="11"/>
  <c r="S929" i="11" s="1"/>
  <c r="O930" i="11"/>
  <c r="P930" i="11"/>
  <c r="R930" i="11"/>
  <c r="S930" i="11" s="1"/>
  <c r="O931" i="11"/>
  <c r="P931" i="11"/>
  <c r="R931" i="11"/>
  <c r="S931" i="11" s="1"/>
  <c r="M932" i="11"/>
  <c r="P932" i="11" s="1"/>
  <c r="R932" i="11"/>
  <c r="S932" i="11" s="1"/>
  <c r="O933" i="11"/>
  <c r="P933" i="11"/>
  <c r="S933" i="11"/>
  <c r="M934" i="11"/>
  <c r="P934" i="11" s="1"/>
  <c r="S934" i="11"/>
  <c r="O935" i="11"/>
  <c r="P935" i="11"/>
  <c r="S935" i="11"/>
  <c r="M936" i="11"/>
  <c r="O936" i="11" s="1"/>
  <c r="S936" i="11"/>
  <c r="O937" i="11"/>
  <c r="P937" i="11"/>
  <c r="S937" i="11"/>
  <c r="O938" i="11"/>
  <c r="P938" i="11"/>
  <c r="R938" i="11"/>
  <c r="S938" i="11" s="1"/>
  <c r="O939" i="11"/>
  <c r="P939" i="11"/>
  <c r="R939" i="11"/>
  <c r="S939" i="11" s="1"/>
  <c r="O940" i="11"/>
  <c r="P940" i="11"/>
  <c r="S940" i="11"/>
  <c r="M941" i="11"/>
  <c r="O941" i="11" s="1"/>
  <c r="S941" i="11"/>
  <c r="M942" i="11"/>
  <c r="P942" i="11" s="1"/>
  <c r="S942" i="11"/>
  <c r="M943" i="11"/>
  <c r="O943" i="11" s="1"/>
  <c r="R943" i="11"/>
  <c r="S943" i="11" s="1"/>
  <c r="O944" i="11"/>
  <c r="P944" i="11"/>
  <c r="S944" i="11"/>
  <c r="M945" i="11"/>
  <c r="O945" i="11" s="1"/>
  <c r="S945" i="11"/>
  <c r="M946" i="11"/>
  <c r="P946" i="11" s="1"/>
  <c r="S946" i="11"/>
  <c r="M947" i="11"/>
  <c r="O947" i="11" s="1"/>
  <c r="S947" i="11"/>
  <c r="O948" i="11"/>
  <c r="P948" i="11"/>
  <c r="S948" i="11"/>
  <c r="O949" i="11"/>
  <c r="P949" i="11"/>
  <c r="S949" i="11"/>
  <c r="O950" i="11"/>
  <c r="P950" i="11"/>
  <c r="S950" i="11"/>
  <c r="O951" i="11"/>
  <c r="P951" i="11"/>
  <c r="S951" i="11"/>
  <c r="O952" i="11"/>
  <c r="P952" i="11"/>
  <c r="S952" i="11"/>
  <c r="O953" i="11"/>
  <c r="P953" i="11"/>
  <c r="R953" i="11"/>
  <c r="S953" i="11" s="1"/>
  <c r="O954" i="11"/>
  <c r="P954" i="11"/>
  <c r="S954" i="11"/>
  <c r="O955" i="11"/>
  <c r="P955" i="11"/>
  <c r="S955" i="11"/>
  <c r="M956" i="11"/>
  <c r="O956" i="11" s="1"/>
  <c r="R956" i="11"/>
  <c r="S956" i="11" s="1"/>
  <c r="O957" i="11"/>
  <c r="P957" i="11"/>
  <c r="R957" i="11"/>
  <c r="S957" i="11" s="1"/>
  <c r="O958" i="11"/>
  <c r="P958" i="11"/>
  <c r="S958" i="11"/>
  <c r="O959" i="11"/>
  <c r="P959" i="11"/>
  <c r="R959" i="11"/>
  <c r="S959" i="11" s="1"/>
  <c r="O960" i="11"/>
  <c r="P960" i="11"/>
  <c r="R960" i="11"/>
  <c r="S960" i="11" s="1"/>
  <c r="O961" i="11"/>
  <c r="P961" i="11"/>
  <c r="R961" i="11"/>
  <c r="S961" i="11" s="1"/>
  <c r="O962" i="11"/>
  <c r="P962" i="11"/>
  <c r="R962" i="11"/>
  <c r="S962" i="11" s="1"/>
  <c r="O963" i="11"/>
  <c r="P963" i="11"/>
  <c r="S963" i="11"/>
  <c r="O964" i="11"/>
  <c r="P964" i="11"/>
  <c r="S964" i="11"/>
  <c r="O965" i="11"/>
  <c r="P965" i="11"/>
  <c r="S965" i="11"/>
  <c r="O966" i="11"/>
  <c r="P966" i="11"/>
  <c r="S966" i="11"/>
  <c r="O967" i="11"/>
  <c r="P967" i="11"/>
  <c r="S967" i="11"/>
  <c r="O968" i="11"/>
  <c r="P968" i="11"/>
  <c r="S968" i="11"/>
  <c r="O969" i="11"/>
  <c r="P969" i="11"/>
  <c r="S969" i="11"/>
  <c r="O970" i="11"/>
  <c r="P970" i="11"/>
  <c r="S970" i="11"/>
  <c r="O971" i="11"/>
  <c r="P971" i="11"/>
  <c r="S971" i="11"/>
  <c r="O972" i="11"/>
  <c r="P972" i="11"/>
  <c r="S972" i="11"/>
  <c r="O973" i="11"/>
  <c r="P973" i="11"/>
  <c r="S973" i="11"/>
  <c r="O974" i="11"/>
  <c r="P974" i="11"/>
  <c r="S974" i="11"/>
  <c r="O975" i="11"/>
  <c r="P975" i="11"/>
  <c r="S975" i="11"/>
  <c r="O976" i="11"/>
  <c r="P976" i="11"/>
  <c r="S976" i="11"/>
  <c r="O977" i="11"/>
  <c r="P977" i="11"/>
  <c r="S977" i="11"/>
  <c r="O978" i="11"/>
  <c r="P978" i="11"/>
  <c r="S978" i="11"/>
  <c r="O979" i="11"/>
  <c r="P979" i="11"/>
  <c r="S979" i="11"/>
  <c r="O980" i="11"/>
  <c r="P980" i="11"/>
  <c r="S980" i="11"/>
  <c r="O981" i="11"/>
  <c r="P981" i="11"/>
  <c r="S981" i="11"/>
  <c r="O982" i="11"/>
  <c r="P982" i="11"/>
  <c r="S982" i="11"/>
  <c r="O983" i="11"/>
  <c r="P983" i="11"/>
  <c r="S983" i="11"/>
  <c r="O984" i="11"/>
  <c r="P984" i="11"/>
  <c r="S984" i="11"/>
  <c r="O985" i="11"/>
  <c r="P985" i="11"/>
  <c r="S985" i="11"/>
  <c r="O986" i="11"/>
  <c r="P986" i="11"/>
  <c r="S986" i="11"/>
  <c r="O987" i="11"/>
  <c r="P987" i="11"/>
  <c r="S987" i="11"/>
  <c r="O988" i="11"/>
  <c r="P988" i="11"/>
  <c r="S988" i="11"/>
  <c r="O989" i="11"/>
  <c r="P989" i="11"/>
  <c r="S989" i="11"/>
  <c r="O990" i="11"/>
  <c r="P990" i="11"/>
  <c r="S990" i="11"/>
  <c r="O991" i="11"/>
  <c r="P991" i="11"/>
  <c r="S991" i="11"/>
  <c r="O992" i="11"/>
  <c r="P992" i="11"/>
  <c r="S992" i="11"/>
  <c r="O993" i="11"/>
  <c r="P993" i="11"/>
  <c r="S993" i="11"/>
  <c r="O994" i="11"/>
  <c r="P994" i="11"/>
  <c r="S994" i="11"/>
  <c r="O995" i="11"/>
  <c r="P995" i="11"/>
  <c r="S995" i="11"/>
  <c r="O996" i="11"/>
  <c r="P996" i="11"/>
  <c r="S996" i="11"/>
  <c r="O997" i="11"/>
  <c r="P997" i="11"/>
  <c r="S997" i="11"/>
  <c r="O998" i="11"/>
  <c r="P998" i="11"/>
  <c r="S998" i="11"/>
  <c r="O999" i="11"/>
  <c r="P999" i="11"/>
  <c r="S999" i="11"/>
  <c r="O1000" i="11"/>
  <c r="P1000" i="11"/>
  <c r="S1000" i="11"/>
  <c r="M2" i="11"/>
  <c r="O2" i="11" s="1"/>
  <c r="R2" i="11"/>
  <c r="O130" i="11" l="1"/>
  <c r="U299" i="11"/>
  <c r="U973" i="11"/>
  <c r="P656" i="11"/>
  <c r="U656" i="11" s="1"/>
  <c r="O377" i="11"/>
  <c r="U301" i="11"/>
  <c r="O273" i="11"/>
  <c r="U243" i="11"/>
  <c r="U237" i="11"/>
  <c r="U975" i="11"/>
  <c r="U938" i="11"/>
  <c r="P420" i="11"/>
  <c r="U322" i="11"/>
  <c r="U777" i="11"/>
  <c r="U957" i="11"/>
  <c r="U609" i="11"/>
  <c r="U511" i="11"/>
  <c r="U391" i="11"/>
  <c r="U292" i="11"/>
  <c r="U403" i="11"/>
  <c r="U332" i="11"/>
  <c r="U930" i="11"/>
  <c r="U701" i="11"/>
  <c r="U6" i="11"/>
  <c r="U767" i="11"/>
  <c r="U720" i="11"/>
  <c r="P680" i="11"/>
  <c r="U521" i="11"/>
  <c r="U300" i="11"/>
  <c r="O279" i="11"/>
  <c r="O121" i="11"/>
  <c r="U953" i="11"/>
  <c r="U783" i="11"/>
  <c r="U500" i="11"/>
  <c r="U421" i="11"/>
  <c r="P416" i="11"/>
  <c r="O593" i="11"/>
  <c r="U985" i="11"/>
  <c r="O491" i="11"/>
  <c r="U115" i="11"/>
  <c r="U922" i="11"/>
  <c r="U910" i="11"/>
  <c r="U779" i="11"/>
  <c r="U313" i="11"/>
  <c r="U951" i="11"/>
  <c r="P936" i="11"/>
  <c r="U936" i="11" s="1"/>
  <c r="U901" i="11"/>
  <c r="U704" i="11"/>
  <c r="U695" i="11"/>
  <c r="U652" i="11"/>
  <c r="U629" i="11"/>
  <c r="U593" i="11"/>
  <c r="U578" i="11"/>
  <c r="U564" i="11"/>
  <c r="P527" i="11"/>
  <c r="U527" i="11" s="1"/>
  <c r="U444" i="11"/>
  <c r="O414" i="11"/>
  <c r="P222" i="11"/>
  <c r="U97" i="11"/>
  <c r="U20" i="11"/>
  <c r="U589" i="11"/>
  <c r="U549" i="11"/>
  <c r="U512" i="11"/>
  <c r="U329" i="11"/>
  <c r="U323" i="11"/>
  <c r="U311" i="11"/>
  <c r="U308" i="11"/>
  <c r="U291" i="11"/>
  <c r="U236" i="11"/>
  <c r="U180" i="11"/>
  <c r="P37" i="11"/>
  <c r="U37" i="11" s="1"/>
  <c r="O28" i="11"/>
  <c r="U969" i="11"/>
  <c r="U940" i="11"/>
  <c r="P850" i="11"/>
  <c r="U850" i="11" s="1"/>
  <c r="U835" i="11"/>
  <c r="U522" i="11"/>
  <c r="U517" i="11"/>
  <c r="U468" i="11"/>
  <c r="U281" i="11"/>
  <c r="U247" i="11"/>
  <c r="O206" i="11"/>
  <c r="P823" i="11"/>
  <c r="U823" i="11" s="1"/>
  <c r="U982" i="11"/>
  <c r="U937" i="11"/>
  <c r="U914" i="11"/>
  <c r="P880" i="11"/>
  <c r="U880" i="11" s="1"/>
  <c r="U650" i="11"/>
  <c r="U636" i="11"/>
  <c r="U340" i="11"/>
  <c r="U163" i="11"/>
  <c r="O68" i="11"/>
  <c r="U57" i="11"/>
  <c r="U644" i="11"/>
  <c r="U984" i="11"/>
  <c r="O38" i="11"/>
  <c r="O223" i="11"/>
  <c r="U979" i="11"/>
  <c r="U971" i="11"/>
  <c r="U952" i="11"/>
  <c r="O915" i="11"/>
  <c r="P893" i="11"/>
  <c r="U893" i="11" s="1"/>
  <c r="P866" i="11"/>
  <c r="U866" i="11" s="1"/>
  <c r="O829" i="11"/>
  <c r="U608" i="11"/>
  <c r="O605" i="11"/>
  <c r="U540" i="11"/>
  <c r="P537" i="11"/>
  <c r="P415" i="11"/>
  <c r="U415" i="11" s="1"/>
  <c r="U405" i="11"/>
  <c r="P400" i="11"/>
  <c r="U400" i="11" s="1"/>
  <c r="U295" i="11"/>
  <c r="O274" i="11"/>
  <c r="O59" i="11"/>
  <c r="U24" i="11"/>
  <c r="S7" i="11"/>
  <c r="U7" i="11" s="1"/>
  <c r="U831" i="11"/>
  <c r="U997" i="11"/>
  <c r="U968" i="11"/>
  <c r="P789" i="11"/>
  <c r="U789" i="11" s="1"/>
  <c r="P687" i="11"/>
  <c r="U687" i="11" s="1"/>
  <c r="O654" i="11"/>
  <c r="U628" i="11"/>
  <c r="P625" i="11"/>
  <c r="U625" i="11" s="1"/>
  <c r="U590" i="11"/>
  <c r="P543" i="11"/>
  <c r="U543" i="11" s="1"/>
  <c r="O540" i="11"/>
  <c r="U456" i="11"/>
  <c r="O378" i="11"/>
  <c r="U369" i="11"/>
  <c r="P286" i="11"/>
  <c r="U286" i="11" s="1"/>
  <c r="U244" i="11"/>
  <c r="U238" i="11"/>
  <c r="O189" i="11"/>
  <c r="P105" i="11"/>
  <c r="U105" i="11" s="1"/>
  <c r="P53" i="11"/>
  <c r="U53" i="11" s="1"/>
  <c r="U50" i="11"/>
  <c r="O10" i="11"/>
  <c r="U561" i="11"/>
  <c r="U514" i="11"/>
  <c r="U476" i="11"/>
  <c r="P396" i="11"/>
  <c r="U396" i="11" s="1"/>
  <c r="U306" i="11"/>
  <c r="U235" i="11"/>
  <c r="O152" i="11"/>
  <c r="O126" i="11"/>
  <c r="U32" i="11"/>
  <c r="U18" i="11"/>
  <c r="U23" i="11"/>
  <c r="U455" i="11"/>
  <c r="U344" i="11"/>
  <c r="U785" i="11"/>
  <c r="U731" i="11"/>
  <c r="U707" i="11"/>
  <c r="U692" i="11"/>
  <c r="P599" i="11"/>
  <c r="U599" i="11" s="1"/>
  <c r="U586" i="11"/>
  <c r="P467" i="11"/>
  <c r="U467" i="11" s="1"/>
  <c r="O418" i="11"/>
  <c r="O406" i="11"/>
  <c r="U349" i="11"/>
  <c r="U334" i="11"/>
  <c r="O275" i="11"/>
  <c r="U248" i="11"/>
  <c r="U112" i="11"/>
  <c r="O46" i="11"/>
  <c r="U11" i="11"/>
  <c r="U8" i="11"/>
  <c r="U754" i="11"/>
  <c r="U734" i="11"/>
  <c r="P153" i="11"/>
  <c r="U153" i="11" s="1"/>
  <c r="S5" i="11"/>
  <c r="U5" i="11" s="1"/>
  <c r="U735" i="11"/>
  <c r="U572" i="11"/>
  <c r="U906" i="11"/>
  <c r="P795" i="11"/>
  <c r="U795" i="11" s="1"/>
  <c r="U712" i="11"/>
  <c r="U709" i="11"/>
  <c r="U507" i="11"/>
  <c r="O493" i="11"/>
  <c r="U474" i="11"/>
  <c r="U457" i="11"/>
  <c r="U445" i="11"/>
  <c r="U442" i="11"/>
  <c r="O364" i="11"/>
  <c r="U354" i="11"/>
  <c r="U290" i="11"/>
  <c r="U230" i="11"/>
  <c r="U186" i="11"/>
  <c r="U124" i="11"/>
  <c r="U16" i="11"/>
  <c r="U954" i="11"/>
  <c r="U908" i="11"/>
  <c r="U904" i="11"/>
  <c r="U717" i="11"/>
  <c r="O667" i="11"/>
  <c r="U587" i="11"/>
  <c r="O557" i="11"/>
  <c r="U508" i="11"/>
  <c r="O499" i="11"/>
  <c r="P485" i="11"/>
  <c r="U485" i="11" s="1"/>
  <c r="U463" i="11"/>
  <c r="U446" i="11"/>
  <c r="U397" i="11"/>
  <c r="U388" i="11"/>
  <c r="U370" i="11"/>
  <c r="U326" i="11"/>
  <c r="U304" i="11"/>
  <c r="U164" i="11"/>
  <c r="P39" i="11"/>
  <c r="P2" i="11"/>
  <c r="U950" i="11"/>
  <c r="U920" i="11"/>
  <c r="O888" i="11"/>
  <c r="U814" i="11"/>
  <c r="U799" i="11"/>
  <c r="U775" i="11"/>
  <c r="U746" i="11"/>
  <c r="U635" i="11"/>
  <c r="U619" i="11"/>
  <c r="O538" i="11"/>
  <c r="U450" i="11"/>
  <c r="U436" i="11"/>
  <c r="U360" i="11"/>
  <c r="U342" i="11"/>
  <c r="U337" i="11"/>
  <c r="O321" i="11"/>
  <c r="U312" i="11"/>
  <c r="P278" i="11"/>
  <c r="U278" i="11" s="1"/>
  <c r="U224" i="11"/>
  <c r="O204" i="11"/>
  <c r="U173" i="11"/>
  <c r="U169" i="11"/>
  <c r="P64" i="11"/>
  <c r="U64" i="11" s="1"/>
  <c r="U38" i="11"/>
  <c r="U996" i="11"/>
  <c r="U992" i="11"/>
  <c r="U988" i="11"/>
  <c r="O835" i="11"/>
  <c r="U786" i="11"/>
  <c r="U782" i="11"/>
  <c r="U736" i="11"/>
  <c r="U711" i="11"/>
  <c r="P660" i="11"/>
  <c r="O609" i="11"/>
  <c r="O546" i="11"/>
  <c r="U542" i="11"/>
  <c r="O532" i="11"/>
  <c r="P488" i="11"/>
  <c r="U488" i="11" s="1"/>
  <c r="O472" i="11"/>
  <c r="U208" i="11"/>
  <c r="P188" i="11"/>
  <c r="U188" i="11" s="1"/>
  <c r="U976" i="11"/>
  <c r="U923" i="11"/>
  <c r="U860" i="11"/>
  <c r="U854" i="11"/>
  <c r="U774" i="11"/>
  <c r="U757" i="11"/>
  <c r="U749" i="11"/>
  <c r="P728" i="11"/>
  <c r="U728" i="11" s="1"/>
  <c r="O707" i="11"/>
  <c r="O670" i="11"/>
  <c r="P665" i="11"/>
  <c r="U665" i="11" s="1"/>
  <c r="O424" i="11"/>
  <c r="U285" i="11"/>
  <c r="U207" i="11"/>
  <c r="U157" i="11"/>
  <c r="U660" i="11"/>
  <c r="P435" i="11"/>
  <c r="U435" i="11" s="1"/>
  <c r="U315" i="11"/>
  <c r="U162" i="11"/>
  <c r="U125" i="11"/>
  <c r="O77" i="11"/>
  <c r="U45" i="11"/>
  <c r="U12" i="11"/>
  <c r="U999" i="11"/>
  <c r="U995" i="11"/>
  <c r="U987" i="11"/>
  <c r="P956" i="11"/>
  <c r="U956" i="11" s="1"/>
  <c r="O875" i="11"/>
  <c r="O849" i="11"/>
  <c r="U769" i="11"/>
  <c r="U727" i="11"/>
  <c r="O694" i="11"/>
  <c r="U675" i="11"/>
  <c r="O612" i="11"/>
  <c r="O608" i="11"/>
  <c r="U563" i="11"/>
  <c r="O554" i="11"/>
  <c r="P545" i="11"/>
  <c r="U452" i="11"/>
  <c r="U416" i="11"/>
  <c r="U335" i="11"/>
  <c r="U319" i="11"/>
  <c r="U175" i="11"/>
  <c r="U152" i="11"/>
  <c r="U967" i="11"/>
  <c r="U955" i="11"/>
  <c r="U905" i="11"/>
  <c r="P885" i="11"/>
  <c r="U885" i="11" s="1"/>
  <c r="U811" i="11"/>
  <c r="U796" i="11"/>
  <c r="O756" i="11"/>
  <c r="O701" i="11"/>
  <c r="U693" i="11"/>
  <c r="P658" i="11"/>
  <c r="U658" i="11" s="1"/>
  <c r="U645" i="11"/>
  <c r="O549" i="11"/>
  <c r="P486" i="11"/>
  <c r="U486" i="11" s="1"/>
  <c r="O475" i="11"/>
  <c r="O456" i="11"/>
  <c r="O410" i="11"/>
  <c r="U134" i="11"/>
  <c r="P102" i="11"/>
  <c r="U998" i="11"/>
  <c r="U990" i="11"/>
  <c r="P843" i="11"/>
  <c r="U843" i="11" s="1"/>
  <c r="U788" i="11"/>
  <c r="U784" i="11"/>
  <c r="U780" i="11"/>
  <c r="P730" i="11"/>
  <c r="U730" i="11" s="1"/>
  <c r="U726" i="11"/>
  <c r="P722" i="11"/>
  <c r="U722" i="11" s="1"/>
  <c r="P718" i="11"/>
  <c r="U718" i="11" s="1"/>
  <c r="U713" i="11"/>
  <c r="U705" i="11"/>
  <c r="O649" i="11"/>
  <c r="P621" i="11"/>
  <c r="U621" i="11" s="1"/>
  <c r="P611" i="11"/>
  <c r="U611" i="11" s="1"/>
  <c r="O602" i="11"/>
  <c r="U504" i="11"/>
  <c r="O426" i="11"/>
  <c r="P413" i="11"/>
  <c r="U413" i="11" s="1"/>
  <c r="U318" i="11"/>
  <c r="O190" i="11"/>
  <c r="P106" i="11"/>
  <c r="U106" i="11" s="1"/>
  <c r="P70" i="11"/>
  <c r="U70" i="11" s="1"/>
  <c r="U56" i="11"/>
  <c r="U978" i="11"/>
  <c r="U929" i="11"/>
  <c r="U925" i="11"/>
  <c r="U776" i="11"/>
  <c r="U696" i="11"/>
  <c r="O592" i="11"/>
  <c r="P566" i="11"/>
  <c r="U566" i="11" s="1"/>
  <c r="U548" i="11"/>
  <c r="O539" i="11"/>
  <c r="U524" i="11"/>
  <c r="U343" i="11"/>
  <c r="P128" i="11"/>
  <c r="U128" i="11" s="1"/>
  <c r="O92" i="11"/>
  <c r="U377" i="11"/>
  <c r="U539" i="11"/>
  <c r="U927" i="11"/>
  <c r="U842" i="11"/>
  <c r="U794" i="11"/>
  <c r="U729" i="11"/>
  <c r="U648" i="11"/>
  <c r="U565" i="11"/>
  <c r="P429" i="11"/>
  <c r="U429" i="11" s="1"/>
  <c r="U401" i="11"/>
  <c r="U359" i="11"/>
  <c r="U345" i="11"/>
  <c r="O314" i="11"/>
  <c r="O282" i="11"/>
  <c r="O241" i="11"/>
  <c r="O207" i="11"/>
  <c r="P195" i="11"/>
  <c r="U195" i="11" s="1"/>
  <c r="U167" i="11"/>
  <c r="O134" i="11"/>
  <c r="U100" i="11"/>
  <c r="P54" i="11"/>
  <c r="U970" i="11"/>
  <c r="U942" i="11"/>
  <c r="U778" i="11"/>
  <c r="P663" i="11"/>
  <c r="U663" i="11" s="1"/>
  <c r="U655" i="11"/>
  <c r="U378" i="11"/>
  <c r="U282" i="11"/>
  <c r="P258" i="11"/>
  <c r="U258" i="11" s="1"/>
  <c r="S95" i="11"/>
  <c r="U46" i="11"/>
  <c r="U25" i="11"/>
  <c r="O884" i="11"/>
  <c r="U875" i="11"/>
  <c r="U741" i="11"/>
  <c r="U697" i="11"/>
  <c r="U694" i="11"/>
  <c r="U680" i="11"/>
  <c r="U667" i="11"/>
  <c r="U647" i="11"/>
  <c r="U639" i="11"/>
  <c r="O606" i="11"/>
  <c r="U602" i="11"/>
  <c r="U576" i="11"/>
  <c r="U568" i="11"/>
  <c r="U560" i="11"/>
  <c r="U557" i="11"/>
  <c r="P536" i="11"/>
  <c r="U536" i="11" s="1"/>
  <c r="U518" i="11"/>
  <c r="U510" i="11"/>
  <c r="O468" i="11"/>
  <c r="P375" i="11"/>
  <c r="U375" i="11" s="1"/>
  <c r="P367" i="11"/>
  <c r="U367" i="11" s="1"/>
  <c r="U274" i="11"/>
  <c r="U232" i="11"/>
  <c r="O224" i="11"/>
  <c r="O220" i="11"/>
  <c r="O215" i="11"/>
  <c r="P203" i="11"/>
  <c r="O199" i="11"/>
  <c r="U166" i="11"/>
  <c r="O149" i="11"/>
  <c r="P121" i="11"/>
  <c r="U121" i="11" s="1"/>
  <c r="O91" i="11"/>
  <c r="P86" i="11"/>
  <c r="U86" i="11" s="1"/>
  <c r="U13" i="11"/>
  <c r="P816" i="11"/>
  <c r="U816" i="11" s="1"/>
  <c r="U781" i="11"/>
  <c r="U654" i="11"/>
  <c r="U651" i="11"/>
  <c r="U592" i="11"/>
  <c r="U362" i="11"/>
  <c r="U321" i="11"/>
  <c r="U293" i="11"/>
  <c r="O252" i="11"/>
  <c r="U199" i="11"/>
  <c r="U189" i="11"/>
  <c r="O133" i="11"/>
  <c r="P95" i="11"/>
  <c r="O61" i="11"/>
  <c r="O49" i="11"/>
  <c r="U17" i="11"/>
  <c r="U980" i="11"/>
  <c r="U946" i="11"/>
  <c r="P845" i="11"/>
  <c r="U845" i="11" s="1"/>
  <c r="U840" i="11"/>
  <c r="U760" i="11"/>
  <c r="U748" i="11"/>
  <c r="U744" i="11"/>
  <c r="U630" i="11"/>
  <c r="O627" i="11"/>
  <c r="U605" i="11"/>
  <c r="U575" i="11"/>
  <c r="U525" i="11"/>
  <c r="U513" i="11"/>
  <c r="U491" i="11"/>
  <c r="U451" i="11"/>
  <c r="O421" i="11"/>
  <c r="U406" i="11"/>
  <c r="P390" i="11"/>
  <c r="U390" i="11" s="1"/>
  <c r="U357" i="11"/>
  <c r="U320" i="11"/>
  <c r="U273" i="11"/>
  <c r="U239" i="11"/>
  <c r="U231" i="11"/>
  <c r="P227" i="11"/>
  <c r="U227" i="11" s="1"/>
  <c r="U165" i="11"/>
  <c r="P161" i="11"/>
  <c r="U161" i="11" s="1"/>
  <c r="O148" i="11"/>
  <c r="U48" i="11"/>
  <c r="U4" i="11"/>
  <c r="U972" i="11"/>
  <c r="U913" i="11"/>
  <c r="P896" i="11"/>
  <c r="U896" i="11" s="1"/>
  <c r="P887" i="11"/>
  <c r="U887" i="11" s="1"/>
  <c r="U873" i="11"/>
  <c r="P848" i="11"/>
  <c r="U848" i="11" s="1"/>
  <c r="O825" i="11"/>
  <c r="U719" i="11"/>
  <c r="P679" i="11"/>
  <c r="U679" i="11" s="1"/>
  <c r="P669" i="11"/>
  <c r="U669" i="11" s="1"/>
  <c r="P662" i="11"/>
  <c r="U662" i="11" s="1"/>
  <c r="U633" i="11"/>
  <c r="U612" i="11"/>
  <c r="P471" i="11"/>
  <c r="U471" i="11" s="1"/>
  <c r="P434" i="11"/>
  <c r="U434" i="11" s="1"/>
  <c r="P183" i="11"/>
  <c r="U183" i="11" s="1"/>
  <c r="U148" i="11"/>
  <c r="U983" i="11"/>
  <c r="U944" i="11"/>
  <c r="P891" i="11"/>
  <c r="U891" i="11" s="1"/>
  <c r="O882" i="11"/>
  <c r="P867" i="11"/>
  <c r="U867" i="11" s="1"/>
  <c r="U759" i="11"/>
  <c r="U755" i="11"/>
  <c r="U743" i="11"/>
  <c r="U714" i="11"/>
  <c r="U622" i="11"/>
  <c r="U591" i="11"/>
  <c r="U570" i="11"/>
  <c r="U546" i="11"/>
  <c r="O542" i="11"/>
  <c r="U520" i="11"/>
  <c r="U516" i="11"/>
  <c r="U499" i="11"/>
  <c r="U475" i="11"/>
  <c r="P437" i="11"/>
  <c r="U437" i="11" s="1"/>
  <c r="U424" i="11"/>
  <c r="P417" i="11"/>
  <c r="U417" i="11" s="1"/>
  <c r="P409" i="11"/>
  <c r="U409" i="11" s="1"/>
  <c r="U380" i="11"/>
  <c r="U351" i="11"/>
  <c r="P339" i="11"/>
  <c r="U339" i="11" s="1"/>
  <c r="O312" i="11"/>
  <c r="P272" i="11"/>
  <c r="U272" i="11" s="1"/>
  <c r="P205" i="11"/>
  <c r="U205" i="11" s="1"/>
  <c r="U939" i="11"/>
  <c r="O932" i="11"/>
  <c r="U928" i="11"/>
  <c r="O834" i="11"/>
  <c r="U414" i="11"/>
  <c r="O287" i="11"/>
  <c r="P250" i="11"/>
  <c r="U250" i="11" s="1"/>
  <c r="P242" i="11"/>
  <c r="U242" i="11" s="1"/>
  <c r="P213" i="11"/>
  <c r="U213" i="11" s="1"/>
  <c r="O208" i="11"/>
  <c r="P151" i="11"/>
  <c r="U151" i="11" s="1"/>
  <c r="O127" i="11"/>
  <c r="P67" i="11"/>
  <c r="U67" i="11" s="1"/>
  <c r="U994" i="11"/>
  <c r="U847" i="11"/>
  <c r="P710" i="11"/>
  <c r="U710" i="11" s="1"/>
  <c r="P703" i="11"/>
  <c r="U703" i="11" s="1"/>
  <c r="U678" i="11"/>
  <c r="U668" i="11"/>
  <c r="P664" i="11"/>
  <c r="U664" i="11" s="1"/>
  <c r="U653" i="11"/>
  <c r="P594" i="11"/>
  <c r="U594" i="11" s="1"/>
  <c r="P558" i="11"/>
  <c r="U558" i="11" s="1"/>
  <c r="U545" i="11"/>
  <c r="U528" i="11"/>
  <c r="U368" i="11"/>
  <c r="U327" i="11"/>
  <c r="O168" i="11"/>
  <c r="U127" i="11"/>
  <c r="U102" i="11"/>
  <c r="S2" i="11"/>
  <c r="U948" i="11"/>
  <c r="U931" i="11"/>
  <c r="O890" i="11"/>
  <c r="O881" i="11"/>
  <c r="U742" i="11"/>
  <c r="U737" i="11"/>
  <c r="U691" i="11"/>
  <c r="O678" i="11"/>
  <c r="O668" i="11"/>
  <c r="U641" i="11"/>
  <c r="U603" i="11"/>
  <c r="P582" i="11"/>
  <c r="U582" i="11" s="1"/>
  <c r="U577" i="11"/>
  <c r="U573" i="11"/>
  <c r="U569" i="11"/>
  <c r="U532" i="11"/>
  <c r="U515" i="11"/>
  <c r="P503" i="11"/>
  <c r="U503" i="11" s="1"/>
  <c r="O474" i="11"/>
  <c r="O461" i="11"/>
  <c r="U449" i="11"/>
  <c r="P411" i="11"/>
  <c r="U411" i="11" s="1"/>
  <c r="U350" i="11"/>
  <c r="P303" i="11"/>
  <c r="U303" i="11" s="1"/>
  <c r="U229" i="11"/>
  <c r="U172" i="11"/>
  <c r="U109" i="11"/>
  <c r="U96" i="11"/>
  <c r="U22" i="11"/>
  <c r="O531" i="11"/>
  <c r="P531" i="11"/>
  <c r="U531" i="11" s="1"/>
  <c r="O338" i="11"/>
  <c r="P338" i="11"/>
  <c r="U338" i="11" s="1"/>
  <c r="U933" i="11"/>
  <c r="U911" i="11"/>
  <c r="U839" i="11"/>
  <c r="U830" i="11"/>
  <c r="P659" i="11"/>
  <c r="U659" i="11" s="1"/>
  <c r="O659" i="11"/>
  <c r="U646" i="11"/>
  <c r="O469" i="11"/>
  <c r="P469" i="11"/>
  <c r="U469" i="11" s="1"/>
  <c r="U314" i="11"/>
  <c r="U965" i="11"/>
  <c r="U962" i="11"/>
  <c r="U959" i="11"/>
  <c r="U949" i="11"/>
  <c r="U919" i="11"/>
  <c r="U916" i="11"/>
  <c r="P903" i="11"/>
  <c r="U903" i="11" s="1"/>
  <c r="O871" i="11"/>
  <c r="P868" i="11"/>
  <c r="U868" i="11" s="1"/>
  <c r="O860" i="11"/>
  <c r="P857" i="11"/>
  <c r="U857" i="11" s="1"/>
  <c r="O854" i="11"/>
  <c r="P851" i="11"/>
  <c r="U851" i="11" s="1"/>
  <c r="P836" i="11"/>
  <c r="U836" i="11" s="1"/>
  <c r="U807" i="11"/>
  <c r="U804" i="11"/>
  <c r="U801" i="11"/>
  <c r="U766" i="11"/>
  <c r="P763" i="11"/>
  <c r="U763" i="11" s="1"/>
  <c r="P758" i="11"/>
  <c r="U758" i="11" s="1"/>
  <c r="U753" i="11"/>
  <c r="U750" i="11"/>
  <c r="P689" i="11"/>
  <c r="U689" i="11" s="1"/>
  <c r="P666" i="11"/>
  <c r="U666" i="11" s="1"/>
  <c r="O666" i="11"/>
  <c r="U643" i="11"/>
  <c r="U637" i="11"/>
  <c r="P618" i="11"/>
  <c r="U618" i="11" s="1"/>
  <c r="O603" i="11"/>
  <c r="O591" i="11"/>
  <c r="P585" i="11"/>
  <c r="U585" i="11" s="1"/>
  <c r="P579" i="11"/>
  <c r="U579" i="11" s="1"/>
  <c r="O579" i="11"/>
  <c r="P489" i="11"/>
  <c r="U489" i="11" s="1"/>
  <c r="O489" i="11"/>
  <c r="U366" i="11"/>
  <c r="U981" i="11"/>
  <c r="O946" i="11"/>
  <c r="U924" i="11"/>
  <c r="P898" i="11"/>
  <c r="U898" i="11" s="1"/>
  <c r="U886" i="11"/>
  <c r="U871" i="11"/>
  <c r="O839" i="11"/>
  <c r="O830" i="11"/>
  <c r="P827" i="11"/>
  <c r="U827" i="11" s="1"/>
  <c r="P821" i="11"/>
  <c r="U821" i="11" s="1"/>
  <c r="O818" i="11"/>
  <c r="P813" i="11"/>
  <c r="U813" i="11" s="1"/>
  <c r="U793" i="11"/>
  <c r="U790" i="11"/>
  <c r="P745" i="11"/>
  <c r="U745" i="11" s="1"/>
  <c r="U686" i="11"/>
  <c r="P674" i="11"/>
  <c r="U674" i="11" s="1"/>
  <c r="O674" i="11"/>
  <c r="P671" i="11"/>
  <c r="U671" i="11" s="1"/>
  <c r="P661" i="11"/>
  <c r="U661" i="11" s="1"/>
  <c r="O653" i="11"/>
  <c r="P640" i="11"/>
  <c r="U640" i="11" s="1"/>
  <c r="U1000" i="11"/>
  <c r="U989" i="11"/>
  <c r="U986" i="11"/>
  <c r="U935" i="11"/>
  <c r="P900" i="11"/>
  <c r="U900" i="11" s="1"/>
  <c r="P889" i="11"/>
  <c r="U889" i="11" s="1"/>
  <c r="O886" i="11"/>
  <c r="P883" i="11"/>
  <c r="U883" i="11" s="1"/>
  <c r="P877" i="11"/>
  <c r="U877" i="11" s="1"/>
  <c r="U787" i="11"/>
  <c r="U771" i="11"/>
  <c r="U768" i="11"/>
  <c r="U747" i="11"/>
  <c r="P677" i="11"/>
  <c r="U677" i="11" s="1"/>
  <c r="O677" i="11"/>
  <c r="O634" i="11"/>
  <c r="P634" i="11"/>
  <c r="U634" i="11" s="1"/>
  <c r="O600" i="11"/>
  <c r="P600" i="11"/>
  <c r="U600" i="11" s="1"/>
  <c r="U554" i="11"/>
  <c r="O502" i="11"/>
  <c r="P502" i="11"/>
  <c r="U502" i="11" s="1"/>
  <c r="O683" i="11"/>
  <c r="P683" i="11"/>
  <c r="U683" i="11" s="1"/>
  <c r="U59" i="11"/>
  <c r="U964" i="11"/>
  <c r="U961" i="11"/>
  <c r="U958" i="11"/>
  <c r="U926" i="11"/>
  <c r="P921" i="11"/>
  <c r="U921" i="11" s="1"/>
  <c r="U918" i="11"/>
  <c r="U915" i="11"/>
  <c r="U907" i="11"/>
  <c r="U902" i="11"/>
  <c r="P870" i="11"/>
  <c r="U870" i="11" s="1"/>
  <c r="O862" i="11"/>
  <c r="P859" i="11"/>
  <c r="U859" i="11" s="1"/>
  <c r="O856" i="11"/>
  <c r="P853" i="11"/>
  <c r="U853" i="11" s="1"/>
  <c r="U829" i="11"/>
  <c r="P815" i="11"/>
  <c r="U815" i="11" s="1"/>
  <c r="O809" i="11"/>
  <c r="U806" i="11"/>
  <c r="U800" i="11"/>
  <c r="P765" i="11"/>
  <c r="U765" i="11" s="1"/>
  <c r="U762" i="11"/>
  <c r="U752" i="11"/>
  <c r="P739" i="11"/>
  <c r="U739" i="11" s="1"/>
  <c r="U733" i="11"/>
  <c r="P673" i="11"/>
  <c r="U673" i="11" s="1"/>
  <c r="U215" i="11"/>
  <c r="O942" i="11"/>
  <c r="O873" i="11"/>
  <c r="P841" i="11"/>
  <c r="U841" i="11" s="1"/>
  <c r="P832" i="11"/>
  <c r="U832" i="11" s="1"/>
  <c r="P817" i="11"/>
  <c r="U817" i="11" s="1"/>
  <c r="U809" i="11"/>
  <c r="U792" i="11"/>
  <c r="U724" i="11"/>
  <c r="U698" i="11"/>
  <c r="O688" i="11"/>
  <c r="U685" i="11"/>
  <c r="O676" i="11"/>
  <c r="P617" i="11"/>
  <c r="U617" i="11" s="1"/>
  <c r="O581" i="11"/>
  <c r="P581" i="11"/>
  <c r="U581" i="11" s="1"/>
  <c r="O529" i="11"/>
  <c r="P529" i="11"/>
  <c r="U529" i="11" s="1"/>
  <c r="O547" i="11"/>
  <c r="P547" i="11"/>
  <c r="U547" i="11" s="1"/>
  <c r="P544" i="11"/>
  <c r="U544" i="11" s="1"/>
  <c r="O544" i="11"/>
  <c r="U991" i="11"/>
  <c r="U977" i="11"/>
  <c r="U974" i="11"/>
  <c r="O934" i="11"/>
  <c r="P912" i="11"/>
  <c r="U912" i="11" s="1"/>
  <c r="P899" i="11"/>
  <c r="U899" i="11" s="1"/>
  <c r="O879" i="11"/>
  <c r="P864" i="11"/>
  <c r="U864" i="11" s="1"/>
  <c r="P861" i="11"/>
  <c r="U861" i="11" s="1"/>
  <c r="U844" i="11"/>
  <c r="P797" i="11"/>
  <c r="U797" i="11" s="1"/>
  <c r="U773" i="11"/>
  <c r="U764" i="11"/>
  <c r="U721" i="11"/>
  <c r="P716" i="11"/>
  <c r="U716" i="11" s="1"/>
  <c r="O657" i="11"/>
  <c r="O619" i="11"/>
  <c r="P610" i="11"/>
  <c r="U610" i="11" s="1"/>
  <c r="O610" i="11"/>
  <c r="P550" i="11"/>
  <c r="U550" i="11" s="1"/>
  <c r="O550" i="11"/>
  <c r="P541" i="11"/>
  <c r="U541" i="11" s="1"/>
  <c r="O494" i="11"/>
  <c r="P494" i="11"/>
  <c r="U494" i="11" s="1"/>
  <c r="U364" i="11"/>
  <c r="P358" i="11"/>
  <c r="U358" i="11" s="1"/>
  <c r="O358" i="11"/>
  <c r="U966" i="11"/>
  <c r="U963" i="11"/>
  <c r="U960" i="11"/>
  <c r="U917" i="11"/>
  <c r="O858" i="11"/>
  <c r="P855" i="11"/>
  <c r="U855" i="11" s="1"/>
  <c r="O852" i="11"/>
  <c r="U825" i="11"/>
  <c r="P808" i="11"/>
  <c r="U808" i="11" s="1"/>
  <c r="U805" i="11"/>
  <c r="P802" i="11"/>
  <c r="U802" i="11" s="1"/>
  <c r="U761" i="11"/>
  <c r="O690" i="11"/>
  <c r="U657" i="11"/>
  <c r="U638" i="11"/>
  <c r="U616" i="11"/>
  <c r="U993" i="11"/>
  <c r="U890" i="11"/>
  <c r="U884" i="11"/>
  <c r="U881" i="11"/>
  <c r="U849" i="11"/>
  <c r="U834" i="11"/>
  <c r="P819" i="11"/>
  <c r="U819" i="11" s="1"/>
  <c r="O811" i="11"/>
  <c r="U791" i="11"/>
  <c r="U756" i="11"/>
  <c r="U723" i="11"/>
  <c r="U700" i="11"/>
  <c r="U684" i="11"/>
  <c r="O675" i="11"/>
  <c r="O672" i="11"/>
  <c r="U632" i="11"/>
  <c r="O607" i="11"/>
  <c r="P607" i="11"/>
  <c r="U607" i="11" s="1"/>
  <c r="P604" i="11"/>
  <c r="U604" i="11" s="1"/>
  <c r="O604" i="11"/>
  <c r="P601" i="11"/>
  <c r="U601" i="11" s="1"/>
  <c r="O553" i="11"/>
  <c r="P553" i="11"/>
  <c r="U553" i="11" s="1"/>
  <c r="U52" i="11"/>
  <c r="U47" i="11"/>
  <c r="U41" i="11"/>
  <c r="U27" i="11"/>
  <c r="O25" i="11"/>
  <c r="O17" i="11"/>
  <c r="U624" i="11"/>
  <c r="U588" i="11"/>
  <c r="O548" i="11"/>
  <c r="P490" i="11"/>
  <c r="U490" i="11" s="1"/>
  <c r="O470" i="11"/>
  <c r="U454" i="11"/>
  <c r="P432" i="11"/>
  <c r="U432" i="11" s="1"/>
  <c r="P423" i="11"/>
  <c r="U423" i="11" s="1"/>
  <c r="U395" i="11"/>
  <c r="U389" i="11"/>
  <c r="U353" i="11"/>
  <c r="U331" i="11"/>
  <c r="U310" i="11"/>
  <c r="U307" i="11"/>
  <c r="U298" i="11"/>
  <c r="O251" i="11"/>
  <c r="U245" i="11"/>
  <c r="U234" i="11"/>
  <c r="U226" i="11"/>
  <c r="P218" i="11"/>
  <c r="U218" i="11" s="1"/>
  <c r="P198" i="11"/>
  <c r="U198" i="11" s="1"/>
  <c r="U174" i="11"/>
  <c r="U171" i="11"/>
  <c r="P119" i="11"/>
  <c r="U119" i="11" s="1"/>
  <c r="U99" i="11"/>
  <c r="P89" i="11"/>
  <c r="U89" i="11" s="1"/>
  <c r="P76" i="11"/>
  <c r="U76" i="11" s="1"/>
  <c r="U30" i="11"/>
  <c r="P9" i="11"/>
  <c r="U9" i="11" s="1"/>
  <c r="U580" i="11"/>
  <c r="O523" i="11"/>
  <c r="U509" i="11"/>
  <c r="P498" i="11"/>
  <c r="U498" i="11" s="1"/>
  <c r="O495" i="11"/>
  <c r="U470" i="11"/>
  <c r="U465" i="11"/>
  <c r="U462" i="11"/>
  <c r="U459" i="11"/>
  <c r="U379" i="11"/>
  <c r="U372" i="11"/>
  <c r="U347" i="11"/>
  <c r="U341" i="11"/>
  <c r="U328" i="11"/>
  <c r="U284" i="11"/>
  <c r="U251" i="11"/>
  <c r="O186" i="11"/>
  <c r="P160" i="11"/>
  <c r="U160" i="11" s="1"/>
  <c r="U149" i="11"/>
  <c r="P132" i="11"/>
  <c r="U132" i="11" s="1"/>
  <c r="U113" i="11"/>
  <c r="U107" i="11"/>
  <c r="U54" i="11"/>
  <c r="U19" i="11"/>
  <c r="P448" i="11"/>
  <c r="U448" i="11" s="1"/>
  <c r="P407" i="11"/>
  <c r="U407" i="11" s="1"/>
  <c r="U333" i="11"/>
  <c r="P259" i="11"/>
  <c r="U259" i="11" s="1"/>
  <c r="U126" i="11"/>
  <c r="U91" i="11"/>
  <c r="U61" i="11"/>
  <c r="U49" i="11"/>
  <c r="U606" i="11"/>
  <c r="U574" i="11"/>
  <c r="O525" i="11"/>
  <c r="P487" i="11"/>
  <c r="U487" i="11" s="1"/>
  <c r="P484" i="11"/>
  <c r="U484" i="11" s="1"/>
  <c r="U472" i="11"/>
  <c r="U418" i="11"/>
  <c r="O405" i="11"/>
  <c r="U374" i="11"/>
  <c r="U316" i="11"/>
  <c r="P257" i="11"/>
  <c r="U257" i="11" s="1"/>
  <c r="O231" i="11"/>
  <c r="U228" i="11"/>
  <c r="U202" i="11"/>
  <c r="U168" i="11"/>
  <c r="O165" i="11"/>
  <c r="U110" i="11"/>
  <c r="U43" i="11"/>
  <c r="U40" i="11"/>
  <c r="O32" i="11"/>
  <c r="U29" i="11"/>
  <c r="U209" i="11"/>
  <c r="S98" i="11"/>
  <c r="S75" i="11"/>
  <c r="U10" i="11"/>
  <c r="S3" i="11"/>
  <c r="U642" i="11"/>
  <c r="U631" i="11"/>
  <c r="U623" i="11"/>
  <c r="P552" i="11"/>
  <c r="U552" i="11" s="1"/>
  <c r="U538" i="11"/>
  <c r="O530" i="11"/>
  <c r="P497" i="11"/>
  <c r="U497" i="11" s="1"/>
  <c r="O476" i="11"/>
  <c r="U461" i="11"/>
  <c r="U458" i="11"/>
  <c r="P453" i="11"/>
  <c r="U453" i="11" s="1"/>
  <c r="O445" i="11"/>
  <c r="U394" i="11"/>
  <c r="U381" i="11"/>
  <c r="U376" i="11"/>
  <c r="P352" i="11"/>
  <c r="U352" i="11" s="1"/>
  <c r="U346" i="11"/>
  <c r="U330" i="11"/>
  <c r="O324" i="11"/>
  <c r="P297" i="11"/>
  <c r="U297" i="11" s="1"/>
  <c r="U283" i="11"/>
  <c r="U241" i="11"/>
  <c r="P233" i="11"/>
  <c r="U233" i="11" s="1"/>
  <c r="U225" i="11"/>
  <c r="P223" i="11"/>
  <c r="U223" i="11" s="1"/>
  <c r="U204" i="11"/>
  <c r="O170" i="11"/>
  <c r="O156" i="11"/>
  <c r="P131" i="11"/>
  <c r="U131" i="11" s="1"/>
  <c r="P118" i="11"/>
  <c r="P98" i="11"/>
  <c r="P93" i="11"/>
  <c r="U93" i="11" s="1"/>
  <c r="P72" i="11"/>
  <c r="U72" i="11" s="1"/>
  <c r="P51" i="11"/>
  <c r="U51" i="11" s="1"/>
  <c r="O34" i="11"/>
  <c r="U26" i="11"/>
  <c r="U21" i="11"/>
  <c r="O3" i="11"/>
  <c r="U584" i="11"/>
  <c r="U562" i="11"/>
  <c r="U530" i="11"/>
  <c r="U519" i="11"/>
  <c r="U438" i="11"/>
  <c r="U426" i="11"/>
  <c r="U402" i="11"/>
  <c r="U384" i="11"/>
  <c r="U294" i="11"/>
  <c r="U219" i="11"/>
  <c r="O209" i="11"/>
  <c r="P197" i="11"/>
  <c r="U197" i="11" s="1"/>
  <c r="P185" i="11"/>
  <c r="U185" i="11" s="1"/>
  <c r="U179" i="11"/>
  <c r="U170" i="11"/>
  <c r="O167" i="11"/>
  <c r="U103" i="11"/>
  <c r="P88" i="11"/>
  <c r="U88" i="11" s="1"/>
  <c r="P75" i="11"/>
  <c r="P69" i="11"/>
  <c r="U69" i="11" s="1"/>
  <c r="U63" i="11"/>
  <c r="U31" i="11"/>
  <c r="U404" i="11"/>
  <c r="U222" i="11"/>
  <c r="O37" i="11"/>
  <c r="U567" i="11"/>
  <c r="U493" i="11"/>
  <c r="P473" i="11"/>
  <c r="U473" i="11" s="1"/>
  <c r="P466" i="11"/>
  <c r="U466" i="11" s="1"/>
  <c r="P430" i="11"/>
  <c r="P373" i="11"/>
  <c r="U373" i="11" s="1"/>
  <c r="P363" i="11"/>
  <c r="U363" i="11" s="1"/>
  <c r="U287" i="11"/>
  <c r="U279" i="11"/>
  <c r="P216" i="11"/>
  <c r="U216" i="11" s="1"/>
  <c r="P214" i="11"/>
  <c r="U214" i="11" s="1"/>
  <c r="U133" i="11"/>
  <c r="P130" i="11"/>
  <c r="U130" i="11" s="1"/>
  <c r="O122" i="11"/>
  <c r="O120" i="11"/>
  <c r="P117" i="11"/>
  <c r="U117" i="11" s="1"/>
  <c r="U92" i="11"/>
  <c r="U68" i="11"/>
  <c r="O60" i="11"/>
  <c r="S33" i="11"/>
  <c r="U33" i="11" s="1"/>
  <c r="U28" i="11"/>
  <c r="U14" i="11"/>
  <c r="U751" i="11"/>
  <c r="U738" i="11"/>
  <c r="U706" i="11"/>
  <c r="U688" i="11"/>
  <c r="U649" i="11"/>
  <c r="U537" i="11"/>
  <c r="P501" i="11"/>
  <c r="U501" i="11" s="1"/>
  <c r="P428" i="11"/>
  <c r="U428" i="11" s="1"/>
  <c r="P399" i="11"/>
  <c r="U399" i="11" s="1"/>
  <c r="P393" i="11"/>
  <c r="U393" i="11" s="1"/>
  <c r="U383" i="11"/>
  <c r="U296" i="11"/>
  <c r="U240" i="11"/>
  <c r="U203" i="11"/>
  <c r="P196" i="11"/>
  <c r="U196" i="11" s="1"/>
  <c r="P184" i="11"/>
  <c r="U184" i="11" s="1"/>
  <c r="O181" i="11"/>
  <c r="O169" i="11"/>
  <c r="P155" i="11"/>
  <c r="U155" i="11" s="1"/>
  <c r="O135" i="11"/>
  <c r="U122" i="11"/>
  <c r="P114" i="11"/>
  <c r="U114" i="11" s="1"/>
  <c r="U111" i="11"/>
  <c r="O97" i="11"/>
  <c r="P87" i="11"/>
  <c r="U87" i="11" s="1"/>
  <c r="P74" i="11"/>
  <c r="U74" i="11" s="1"/>
  <c r="U62" i="11"/>
  <c r="U858" i="11"/>
  <c r="U852" i="11"/>
  <c r="U818" i="11"/>
  <c r="U690" i="11"/>
  <c r="U676" i="11"/>
  <c r="U932" i="11"/>
  <c r="U670" i="11"/>
  <c r="U856" i="11"/>
  <c r="U897" i="11"/>
  <c r="U888" i="11"/>
  <c r="U882" i="11"/>
  <c r="U672" i="11"/>
  <c r="U934" i="11"/>
  <c r="U879" i="11"/>
  <c r="U770" i="11"/>
  <c r="P947" i="11"/>
  <c r="U947" i="11" s="1"/>
  <c r="P945" i="11"/>
  <c r="U945" i="11" s="1"/>
  <c r="P943" i="11"/>
  <c r="U943" i="11" s="1"/>
  <c r="P941" i="11"/>
  <c r="U941" i="11" s="1"/>
  <c r="O911" i="11"/>
  <c r="P909" i="11"/>
  <c r="U909" i="11" s="1"/>
  <c r="O897" i="11"/>
  <c r="P895" i="11"/>
  <c r="U895" i="11" s="1"/>
  <c r="P876" i="11"/>
  <c r="U876" i="11" s="1"/>
  <c r="P874" i="11"/>
  <c r="U874" i="11" s="1"/>
  <c r="P872" i="11"/>
  <c r="U872" i="11" s="1"/>
  <c r="P863" i="11"/>
  <c r="U863" i="11" s="1"/>
  <c r="O844" i="11"/>
  <c r="O842" i="11"/>
  <c r="O840" i="11"/>
  <c r="P838" i="11"/>
  <c r="U838" i="11" s="1"/>
  <c r="O831" i="11"/>
  <c r="O814" i="11"/>
  <c r="P812" i="11"/>
  <c r="U812" i="11" s="1"/>
  <c r="P810" i="11"/>
  <c r="U810" i="11" s="1"/>
  <c r="P798" i="11"/>
  <c r="U798" i="11" s="1"/>
  <c r="O770" i="11"/>
  <c r="O738" i="11"/>
  <c r="P682" i="11"/>
  <c r="U682" i="11" s="1"/>
  <c r="O613" i="11"/>
  <c r="P613" i="11"/>
  <c r="U613" i="11" s="1"/>
  <c r="U583" i="11"/>
  <c r="O365" i="11"/>
  <c r="P365" i="11"/>
  <c r="U365" i="11" s="1"/>
  <c r="O90" i="11"/>
  <c r="P90" i="11"/>
  <c r="U90" i="11" s="1"/>
  <c r="P708" i="11"/>
  <c r="U708" i="11" s="1"/>
  <c r="U699" i="11"/>
  <c r="O596" i="11"/>
  <c r="P596" i="11"/>
  <c r="U596" i="11" s="1"/>
  <c r="O492" i="11"/>
  <c r="P492" i="11"/>
  <c r="U492" i="11" s="1"/>
  <c r="O412" i="11"/>
  <c r="P412" i="11"/>
  <c r="U412" i="11" s="1"/>
  <c r="O348" i="11"/>
  <c r="P348" i="11"/>
  <c r="U348" i="11" s="1"/>
  <c r="O626" i="11"/>
  <c r="P626" i="11"/>
  <c r="U626" i="11" s="1"/>
  <c r="O559" i="11"/>
  <c r="P559" i="11"/>
  <c r="U559" i="11" s="1"/>
  <c r="O480" i="11"/>
  <c r="P480" i="11"/>
  <c r="U480" i="11" s="1"/>
  <c r="O443" i="11"/>
  <c r="P443" i="11"/>
  <c r="U443" i="11" s="1"/>
  <c r="O246" i="11"/>
  <c r="P246" i="11"/>
  <c r="U246" i="11" s="1"/>
  <c r="O505" i="11"/>
  <c r="P505" i="11"/>
  <c r="U505" i="11" s="1"/>
  <c r="O427" i="11"/>
  <c r="P427" i="11"/>
  <c r="U427" i="11" s="1"/>
  <c r="U420" i="11"/>
  <c r="O398" i="11"/>
  <c r="P398" i="11"/>
  <c r="U398" i="11" s="1"/>
  <c r="O392" i="11"/>
  <c r="P392" i="11"/>
  <c r="U392" i="11" s="1"/>
  <c r="O535" i="11"/>
  <c r="P535" i="11"/>
  <c r="U535" i="11" s="1"/>
  <c r="O439" i="11"/>
  <c r="P439" i="11"/>
  <c r="U439" i="11" s="1"/>
  <c r="O595" i="11"/>
  <c r="O556" i="11"/>
  <c r="P556" i="11"/>
  <c r="U556" i="11" s="1"/>
  <c r="O422" i="11"/>
  <c r="P422" i="11"/>
  <c r="U422" i="11" s="1"/>
  <c r="P862" i="11"/>
  <c r="U862" i="11" s="1"/>
  <c r="O620" i="11"/>
  <c r="P620" i="11"/>
  <c r="U620" i="11" s="1"/>
  <c r="O615" i="11"/>
  <c r="P615" i="11"/>
  <c r="U615" i="11" s="1"/>
  <c r="O464" i="11"/>
  <c r="P464" i="11"/>
  <c r="U464" i="11" s="1"/>
  <c r="U447" i="11"/>
  <c r="U371" i="11"/>
  <c r="O154" i="11"/>
  <c r="P154" i="11"/>
  <c r="P894" i="11"/>
  <c r="U894" i="11" s="1"/>
  <c r="P892" i="11"/>
  <c r="U892" i="11" s="1"/>
  <c r="P869" i="11"/>
  <c r="U869" i="11" s="1"/>
  <c r="P837" i="11"/>
  <c r="U837" i="11" s="1"/>
  <c r="P828" i="11"/>
  <c r="U828" i="11" s="1"/>
  <c r="P826" i="11"/>
  <c r="U826" i="11" s="1"/>
  <c r="P824" i="11"/>
  <c r="U824" i="11" s="1"/>
  <c r="P822" i="11"/>
  <c r="U822" i="11" s="1"/>
  <c r="P820" i="11"/>
  <c r="U820" i="11" s="1"/>
  <c r="P803" i="11"/>
  <c r="U803" i="11" s="1"/>
  <c r="P732" i="11"/>
  <c r="U732" i="11" s="1"/>
  <c r="P715" i="11"/>
  <c r="U715" i="11" s="1"/>
  <c r="P681" i="11"/>
  <c r="U681" i="11" s="1"/>
  <c r="O598" i="11"/>
  <c r="P598" i="11"/>
  <c r="U598" i="11" s="1"/>
  <c r="O534" i="11"/>
  <c r="P534" i="11"/>
  <c r="U534" i="11" s="1"/>
  <c r="U523" i="11"/>
  <c r="O655" i="11"/>
  <c r="U627" i="11"/>
  <c r="O555" i="11"/>
  <c r="P555" i="11"/>
  <c r="U555" i="11" s="1"/>
  <c r="U495" i="11"/>
  <c r="O482" i="11"/>
  <c r="P482" i="11"/>
  <c r="U482" i="11" s="1"/>
  <c r="O478" i="11"/>
  <c r="P478" i="11"/>
  <c r="U478" i="11" s="1"/>
  <c r="U430" i="11"/>
  <c r="O361" i="11"/>
  <c r="P361" i="11"/>
  <c r="U361" i="11" s="1"/>
  <c r="O614" i="11"/>
  <c r="P614" i="11"/>
  <c r="U614" i="11" s="1"/>
  <c r="P878" i="11"/>
  <c r="U878" i="11" s="1"/>
  <c r="P865" i="11"/>
  <c r="U865" i="11" s="1"/>
  <c r="P846" i="11"/>
  <c r="U846" i="11" s="1"/>
  <c r="P833" i="11"/>
  <c r="U833" i="11" s="1"/>
  <c r="P772" i="11"/>
  <c r="U772" i="11" s="1"/>
  <c r="P740" i="11"/>
  <c r="U740" i="11" s="1"/>
  <c r="P725" i="11"/>
  <c r="U725" i="11" s="1"/>
  <c r="P702" i="11"/>
  <c r="U702" i="11" s="1"/>
  <c r="O597" i="11"/>
  <c r="P597" i="11"/>
  <c r="U597" i="11" s="1"/>
  <c r="O533" i="11"/>
  <c r="P533" i="11"/>
  <c r="U533" i="11" s="1"/>
  <c r="O441" i="11"/>
  <c r="P441" i="11"/>
  <c r="U441" i="11" s="1"/>
  <c r="U410" i="11"/>
  <c r="O182" i="11"/>
  <c r="P182" i="11"/>
  <c r="U182" i="11" s="1"/>
  <c r="O639" i="11"/>
  <c r="O460" i="11"/>
  <c r="P460" i="11"/>
  <c r="U460" i="11" s="1"/>
  <c r="U206" i="11"/>
  <c r="P433" i="11"/>
  <c r="U433" i="11" s="1"/>
  <c r="P425" i="11"/>
  <c r="U425" i="11" s="1"/>
  <c r="P387" i="11"/>
  <c r="U387" i="11" s="1"/>
  <c r="P385" i="11"/>
  <c r="U385" i="11" s="1"/>
  <c r="P356" i="11"/>
  <c r="U356" i="11" s="1"/>
  <c r="O271" i="11"/>
  <c r="P271" i="11"/>
  <c r="U271" i="11" s="1"/>
  <c r="O267" i="11"/>
  <c r="P267" i="11"/>
  <c r="U267" i="11" s="1"/>
  <c r="O263" i="11"/>
  <c r="P263" i="11"/>
  <c r="U263" i="11" s="1"/>
  <c r="O254" i="11"/>
  <c r="P254" i="11"/>
  <c r="U254" i="11" s="1"/>
  <c r="O193" i="11"/>
  <c r="P193" i="11"/>
  <c r="U193" i="11" s="1"/>
  <c r="U156" i="11"/>
  <c r="O146" i="11"/>
  <c r="P146" i="11"/>
  <c r="U146" i="11" s="1"/>
  <c r="O142" i="11"/>
  <c r="P142" i="11"/>
  <c r="U142" i="11" s="1"/>
  <c r="O138" i="11"/>
  <c r="P138" i="11"/>
  <c r="U138" i="11" s="1"/>
  <c r="U275" i="11"/>
  <c r="O221" i="11"/>
  <c r="P221" i="11"/>
  <c r="U221" i="11" s="1"/>
  <c r="O201" i="11"/>
  <c r="P201" i="11"/>
  <c r="U201" i="11" s="1"/>
  <c r="O187" i="11"/>
  <c r="P187" i="11"/>
  <c r="U187" i="11" s="1"/>
  <c r="U181" i="11"/>
  <c r="O71" i="11"/>
  <c r="P71" i="11"/>
  <c r="U71" i="11" s="1"/>
  <c r="O289" i="11"/>
  <c r="P289" i="11"/>
  <c r="U289" i="11" s="1"/>
  <c r="O159" i="11"/>
  <c r="P159" i="11"/>
  <c r="U159" i="11" s="1"/>
  <c r="O129" i="11"/>
  <c r="P129" i="11"/>
  <c r="U129" i="11" s="1"/>
  <c r="P108" i="11"/>
  <c r="S108" i="11"/>
  <c r="P571" i="11"/>
  <c r="U571" i="11" s="1"/>
  <c r="P551" i="11"/>
  <c r="U551" i="11" s="1"/>
  <c r="P526" i="11"/>
  <c r="U526" i="11" s="1"/>
  <c r="P506" i="11"/>
  <c r="U506" i="11" s="1"/>
  <c r="P496" i="11"/>
  <c r="U496" i="11" s="1"/>
  <c r="P483" i="11"/>
  <c r="U483" i="11" s="1"/>
  <c r="P481" i="11"/>
  <c r="U481" i="11" s="1"/>
  <c r="P479" i="11"/>
  <c r="U479" i="11" s="1"/>
  <c r="P477" i="11"/>
  <c r="U477" i="11" s="1"/>
  <c r="P440" i="11"/>
  <c r="U440" i="11" s="1"/>
  <c r="P431" i="11"/>
  <c r="U431" i="11" s="1"/>
  <c r="P408" i="11"/>
  <c r="U408" i="11" s="1"/>
  <c r="O270" i="11"/>
  <c r="P270" i="11"/>
  <c r="U270" i="11" s="1"/>
  <c r="O266" i="11"/>
  <c r="P266" i="11"/>
  <c r="U266" i="11" s="1"/>
  <c r="O262" i="11"/>
  <c r="P262" i="11"/>
  <c r="U262" i="11" s="1"/>
  <c r="O145" i="11"/>
  <c r="P145" i="11"/>
  <c r="U145" i="11" s="1"/>
  <c r="O141" i="11"/>
  <c r="P141" i="11"/>
  <c r="U141" i="11" s="1"/>
  <c r="O137" i="11"/>
  <c r="P137" i="11"/>
  <c r="U137" i="11" s="1"/>
  <c r="O340" i="11"/>
  <c r="O336" i="11"/>
  <c r="P336" i="11"/>
  <c r="U336" i="11" s="1"/>
  <c r="O210" i="11"/>
  <c r="P210" i="11"/>
  <c r="U210" i="11" s="1"/>
  <c r="O200" i="11"/>
  <c r="P200" i="11"/>
  <c r="U200" i="11" s="1"/>
  <c r="O178" i="11"/>
  <c r="P178" i="11"/>
  <c r="U178" i="11" s="1"/>
  <c r="O288" i="11"/>
  <c r="P288" i="11"/>
  <c r="U288" i="11" s="1"/>
  <c r="O280" i="11"/>
  <c r="P280" i="11"/>
  <c r="U280" i="11" s="1"/>
  <c r="U252" i="11"/>
  <c r="O116" i="11"/>
  <c r="P116" i="11"/>
  <c r="U116" i="11" s="1"/>
  <c r="O73" i="11"/>
  <c r="P73" i="11"/>
  <c r="U73" i="11" s="1"/>
  <c r="P419" i="11"/>
  <c r="U419" i="11" s="1"/>
  <c r="P386" i="11"/>
  <c r="U386" i="11" s="1"/>
  <c r="P382" i="11"/>
  <c r="U382" i="11" s="1"/>
  <c r="P355" i="11"/>
  <c r="U355" i="11" s="1"/>
  <c r="O269" i="11"/>
  <c r="P269" i="11"/>
  <c r="U269" i="11" s="1"/>
  <c r="O265" i="11"/>
  <c r="P265" i="11"/>
  <c r="U265" i="11" s="1"/>
  <c r="O261" i="11"/>
  <c r="P261" i="11"/>
  <c r="U261" i="11" s="1"/>
  <c r="O256" i="11"/>
  <c r="P256" i="11"/>
  <c r="U256" i="11" s="1"/>
  <c r="O191" i="11"/>
  <c r="P191" i="11"/>
  <c r="U191" i="11" s="1"/>
  <c r="O150" i="11"/>
  <c r="O144" i="11"/>
  <c r="P144" i="11"/>
  <c r="U144" i="11" s="1"/>
  <c r="O140" i="11"/>
  <c r="P140" i="11"/>
  <c r="U140" i="11" s="1"/>
  <c r="O136" i="11"/>
  <c r="P136" i="11"/>
  <c r="U136" i="11" s="1"/>
  <c r="O344" i="11"/>
  <c r="O325" i="11"/>
  <c r="P325" i="11"/>
  <c r="U325" i="11" s="1"/>
  <c r="O302" i="11"/>
  <c r="P302" i="11"/>
  <c r="U302" i="11" s="1"/>
  <c r="O217" i="11"/>
  <c r="P217" i="11"/>
  <c r="U217" i="11" s="1"/>
  <c r="O123" i="11"/>
  <c r="P123" i="11"/>
  <c r="U123" i="11" s="1"/>
  <c r="U118" i="11"/>
  <c r="O317" i="11"/>
  <c r="P317" i="11"/>
  <c r="U317" i="11" s="1"/>
  <c r="O277" i="11"/>
  <c r="P277" i="11"/>
  <c r="U277" i="11" s="1"/>
  <c r="U190" i="11"/>
  <c r="U135" i="11"/>
  <c r="P595" i="11"/>
  <c r="U595" i="11" s="1"/>
  <c r="U324" i="11"/>
  <c r="O268" i="11"/>
  <c r="P268" i="11"/>
  <c r="U268" i="11" s="1"/>
  <c r="O264" i="11"/>
  <c r="P264" i="11"/>
  <c r="U264" i="11" s="1"/>
  <c r="O260" i="11"/>
  <c r="P260" i="11"/>
  <c r="U260" i="11" s="1"/>
  <c r="O147" i="11"/>
  <c r="P147" i="11"/>
  <c r="U147" i="11" s="1"/>
  <c r="O143" i="11"/>
  <c r="P143" i="11"/>
  <c r="U143" i="11" s="1"/>
  <c r="O139" i="11"/>
  <c r="P139" i="11"/>
  <c r="U139" i="11" s="1"/>
  <c r="O249" i="11"/>
  <c r="P249" i="11"/>
  <c r="U249" i="11" s="1"/>
  <c r="O212" i="11"/>
  <c r="P212" i="11"/>
  <c r="U212" i="11" s="1"/>
  <c r="O176" i="11"/>
  <c r="P176" i="11"/>
  <c r="U176" i="11" s="1"/>
  <c r="U154" i="11"/>
  <c r="U60" i="11"/>
  <c r="U39" i="11"/>
  <c r="P15" i="11"/>
  <c r="S15" i="11"/>
  <c r="P101" i="11"/>
  <c r="U101" i="11" s="1"/>
  <c r="P84" i="11"/>
  <c r="U84" i="11" s="1"/>
  <c r="P82" i="11"/>
  <c r="U82" i="11" s="1"/>
  <c r="P80" i="11"/>
  <c r="U80" i="11" s="1"/>
  <c r="P78" i="11"/>
  <c r="U78" i="11" s="1"/>
  <c r="P65" i="11"/>
  <c r="U65" i="11" s="1"/>
  <c r="P58" i="11"/>
  <c r="U58" i="11" s="1"/>
  <c r="P35" i="11"/>
  <c r="U35" i="11" s="1"/>
  <c r="P309" i="11"/>
  <c r="U309" i="11" s="1"/>
  <c r="P305" i="11"/>
  <c r="U305" i="11" s="1"/>
  <c r="P276" i="11"/>
  <c r="U276" i="11" s="1"/>
  <c r="P255" i="11"/>
  <c r="U255" i="11" s="1"/>
  <c r="P253" i="11"/>
  <c r="U253" i="11" s="1"/>
  <c r="P220" i="11"/>
  <c r="U220" i="11" s="1"/>
  <c r="P211" i="11"/>
  <c r="U211" i="11" s="1"/>
  <c r="P194" i="11"/>
  <c r="U194" i="11" s="1"/>
  <c r="P192" i="11"/>
  <c r="U192" i="11" s="1"/>
  <c r="P177" i="11"/>
  <c r="U177" i="11" s="1"/>
  <c r="P158" i="11"/>
  <c r="U158" i="11" s="1"/>
  <c r="P104" i="11"/>
  <c r="U104" i="11" s="1"/>
  <c r="P94" i="11"/>
  <c r="U94" i="11" s="1"/>
  <c r="P85" i="11"/>
  <c r="U85" i="11" s="1"/>
  <c r="P83" i="11"/>
  <c r="U83" i="11" s="1"/>
  <c r="P81" i="11"/>
  <c r="U81" i="11" s="1"/>
  <c r="P79" i="11"/>
  <c r="U79" i="11" s="1"/>
  <c r="P77" i="11"/>
  <c r="U77" i="11" s="1"/>
  <c r="P66" i="11"/>
  <c r="U66" i="11" s="1"/>
  <c r="P44" i="11"/>
  <c r="U44" i="11" s="1"/>
  <c r="P42" i="11"/>
  <c r="U42" i="11" s="1"/>
  <c r="P36" i="11"/>
  <c r="U36" i="11" s="1"/>
  <c r="P34" i="11"/>
  <c r="U34" i="11" s="1"/>
  <c r="P3" i="11"/>
  <c r="P150" i="11"/>
  <c r="U150" i="11" s="1"/>
  <c r="P120" i="11"/>
  <c r="U120" i="11" s="1"/>
  <c r="U1001" i="11"/>
  <c r="U95" i="11" l="1"/>
  <c r="U2" i="11"/>
  <c r="U15" i="11"/>
  <c r="U3" i="11"/>
  <c r="U108" i="11"/>
  <c r="U98" i="11"/>
  <c r="U75" i="11"/>
  <c r="I1001" i="11"/>
  <c r="R1001" i="11"/>
  <c r="N1001" i="11"/>
  <c r="M1001" i="11"/>
  <c r="J1001" i="11"/>
  <c r="Q1005" i="11" l="1"/>
  <c r="S1001" i="11"/>
  <c r="P1001" i="11"/>
  <c r="O1001" i="11"/>
</calcChain>
</file>

<file path=xl/sharedStrings.xml><?xml version="1.0" encoding="utf-8"?>
<sst xmlns="http://schemas.openxmlformats.org/spreadsheetml/2006/main" count="5832" uniqueCount="150">
  <si>
    <t>Sr</t>
  </si>
  <si>
    <t>ARL</t>
  </si>
  <si>
    <t>Pepsico</t>
  </si>
  <si>
    <t>Wages</t>
  </si>
  <si>
    <t>Hamilton LC LLC</t>
  </si>
  <si>
    <t>Purnima Patel</t>
  </si>
  <si>
    <t>Rising sun LC LLC</t>
  </si>
  <si>
    <t>Bernard</t>
  </si>
  <si>
    <t>Latimer LC LLC</t>
  </si>
  <si>
    <t>Broad Street LC LLC</t>
  </si>
  <si>
    <t>Frankford LC LLC</t>
  </si>
  <si>
    <t>COTTMAN LC LLC</t>
  </si>
  <si>
    <t>Lincoln HWY LC LLC</t>
  </si>
  <si>
    <t>ROHRERSTOWN  LC LLC</t>
  </si>
  <si>
    <t>South State LC LLC</t>
  </si>
  <si>
    <t>Kutztown Rd LC LLC</t>
  </si>
  <si>
    <t>Gavina</t>
  </si>
  <si>
    <t>Fifth Street LC LLC</t>
  </si>
  <si>
    <t>Lancaster Ave LC LLC</t>
  </si>
  <si>
    <t>Main St SY LC LLC</t>
  </si>
  <si>
    <t>Rouchdi</t>
  </si>
  <si>
    <t>Oswego Rd SY LC LLC</t>
  </si>
  <si>
    <t>Christie</t>
  </si>
  <si>
    <t>Salina St SY LC LLC</t>
  </si>
  <si>
    <t>North St SY LC LLC</t>
  </si>
  <si>
    <t>Bartell Rd SY LC LLC</t>
  </si>
  <si>
    <t>State Rt SY LC LLC</t>
  </si>
  <si>
    <t>Onondaga Blvd SY LC LLC</t>
  </si>
  <si>
    <t>Second st SY LC LLC</t>
  </si>
  <si>
    <t>Manilus st SY LC LLC</t>
  </si>
  <si>
    <t>Central Ave SY LC LLC</t>
  </si>
  <si>
    <t>Seventh St SY LC LLC</t>
  </si>
  <si>
    <t>Pulaski HWY MD LC LLC</t>
  </si>
  <si>
    <t>Governors PL DE LC LLC</t>
  </si>
  <si>
    <t>KIRKWOOD HWY DE LC LLC</t>
  </si>
  <si>
    <t>William Dalton Dr LC LLC</t>
  </si>
  <si>
    <t>Yeadon LC LLC</t>
  </si>
  <si>
    <t>COMMERCE CIRCLE LC LLC</t>
  </si>
  <si>
    <t>DELRAN NJ LC LLC</t>
  </si>
  <si>
    <t>Week 1</t>
  </si>
  <si>
    <t>Jignesh</t>
  </si>
  <si>
    <t>Kiren &amp; Rashmi</t>
  </si>
  <si>
    <t xml:space="preserve">Jasmit </t>
  </si>
  <si>
    <t>Kalpesh Patel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</si>
  <si>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</si>
  <si>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</si>
  <si>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</si>
  <si>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</si>
  <si>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</si>
  <si>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</si>
  <si>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</si>
  <si>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</si>
  <si>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</si>
  <si>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DILLSBURG PA LC LLC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</si>
  <si>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</si>
  <si>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</si>
  <si>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</si>
  <si>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</si>
  <si>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</si>
  <si>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</si>
  <si>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</si>
  <si>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</si>
  <si>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</si>
  <si>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</si>
  <si>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</si>
  <si>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</si>
  <si>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</si>
  <si>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</si>
  <si>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</si>
  <si>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</si>
  <si>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</si>
  <si>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</si>
  <si>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</si>
  <si>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</si>
  <si>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</si>
  <si>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Period</t>
  </si>
  <si>
    <t>12-31 to 01-06</t>
  </si>
  <si>
    <t>Period 1</t>
  </si>
  <si>
    <t>Week 01</t>
  </si>
  <si>
    <t>Kiren Patel</t>
  </si>
  <si>
    <t>01-07 to 01-13</t>
  </si>
  <si>
    <t>Week 02</t>
  </si>
  <si>
    <t>01-14 to 01-20</t>
  </si>
  <si>
    <t>Week 03</t>
  </si>
  <si>
    <t>01-21 to 01-27</t>
  </si>
  <si>
    <t>Week 04</t>
  </si>
  <si>
    <t>01-28 to 02-03</t>
  </si>
  <si>
    <t>Period 2</t>
  </si>
  <si>
    <t>Week 05</t>
  </si>
  <si>
    <t>02-04 to 02-10</t>
  </si>
  <si>
    <t>Week 06</t>
  </si>
  <si>
    <t>02-11 to 02-17</t>
  </si>
  <si>
    <t>Week 07</t>
  </si>
  <si>
    <t>02-18 to 02-24</t>
  </si>
  <si>
    <t>Week 08</t>
  </si>
  <si>
    <t>02-25 to 03-03</t>
  </si>
  <si>
    <t>Period 3</t>
  </si>
  <si>
    <t>Week 09</t>
  </si>
  <si>
    <t>03-04 to 03-10</t>
  </si>
  <si>
    <t>03-11 to 03-17</t>
  </si>
  <si>
    <t>03-18 to 03-24</t>
  </si>
  <si>
    <t>03-25 to 03-31</t>
  </si>
  <si>
    <t>Period 4</t>
  </si>
  <si>
    <t>04-01 to 04-07</t>
  </si>
  <si>
    <t>04-08 to 04-14</t>
  </si>
  <si>
    <t>04-15 to 04-21</t>
  </si>
  <si>
    <t>04-22 to 04-28</t>
  </si>
  <si>
    <t>Period 5</t>
  </si>
  <si>
    <t>04-29 to 05-05</t>
  </si>
  <si>
    <t>05-06 to 05-12</t>
  </si>
  <si>
    <t>05-13 to 05-19</t>
  </si>
  <si>
    <t>05-20 to 05-26</t>
  </si>
  <si>
    <t>Period 6</t>
  </si>
  <si>
    <t>05-27 to 06-02</t>
  </si>
  <si>
    <t>06-03 to 06-09</t>
  </si>
  <si>
    <t>06-10 to 06-16</t>
  </si>
  <si>
    <t>06-17 to 06-23</t>
  </si>
  <si>
    <t>Period 7</t>
  </si>
  <si>
    <t>06-24 to 06-30</t>
  </si>
  <si>
    <t>Mustafa</t>
  </si>
  <si>
    <t>Paul</t>
  </si>
  <si>
    <t>07-01 to 07-07</t>
  </si>
  <si>
    <t>Carisa</t>
  </si>
  <si>
    <t>07-08 to 07-14</t>
  </si>
  <si>
    <t>07-15 to 07-21</t>
  </si>
  <si>
    <t>Period 8</t>
  </si>
  <si>
    <t>07-22 to 07-28</t>
  </si>
  <si>
    <t>Ronak</t>
  </si>
  <si>
    <t>07-29 to 08-04</t>
  </si>
  <si>
    <t>Grand Total</t>
  </si>
  <si>
    <t>Sum of Sum of Gross
 Sales</t>
  </si>
  <si>
    <t>Column Labels</t>
  </si>
  <si>
    <t>Row Labels</t>
  </si>
  <si>
    <t>WeekPeriod</t>
  </si>
  <si>
    <t>StoreNumber</t>
  </si>
  <si>
    <t>StoreName</t>
  </si>
  <si>
    <t>ReportingHead</t>
  </si>
  <si>
    <t>Sales2025</t>
  </si>
  <si>
    <t>Sales2024</t>
  </si>
  <si>
    <t>CustomerCount2025</t>
  </si>
  <si>
    <t>CustomerCount2024</t>
  </si>
  <si>
    <t>FoodcostBlueline</t>
  </si>
  <si>
    <t>TotalFoodCost</t>
  </si>
  <si>
    <t>FoodCostPercent</t>
  </si>
  <si>
    <t>FourWeekFoodCost</t>
  </si>
  <si>
    <t>WagesPercent</t>
  </si>
  <si>
    <t>FourWeekWageCost</t>
  </si>
  <si>
    <t>FoodAndLaborPercent</t>
  </si>
  <si>
    <t>FourWeekAverageFoodAndLabor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</si>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</sst>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2" xfId="0" applyFont="1" applyFill="1" applyBorder="1" applyAlignment="1">
      <alignment horizontal="center" vertical="center" indent="1"/>
    </xf>
    <xf numFmtId="0" fontId="7" fillId="4" borderId="2" xfId="0" applyFont="1" applyFill="1" applyBorder="1" applyAlignment="1">
      <alignment horizontal="center" vertical="center" wrapText="1" indent="1"/>
    </xf>
    <xf numFmtId="10" fontId="7" fillId="4" borderId="2" xfId="0" applyNumberFormat="1" applyFont="1" applyFill="1" applyBorder="1" applyAlignment="1">
      <alignment horizontal="center" vertical="center" wrapText="1" indent="1"/>
    </xf>
    <xf numFmtId="0" fontId="5" fillId="0" borderId="5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inden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2" fillId="0" borderId="1" xfId="1" applyFont="1" applyBorder="1"/>
    <xf numFmtId="0" fontId="0" fillId="0" borderId="5" xfId="0" applyBorder="1" applyAlignment="1">
      <alignment horizontal="center" vertical="center"/>
    </xf>
    <xf numFmtId="0" fontId="5" fillId="0" borderId="0" xfId="0" applyFont="1"/>
    <xf numFmtId="164" fontId="7" fillId="4" borderId="2" xfId="0" applyNumberFormat="1" applyFont="1" applyFill="1" applyBorder="1" applyAlignment="1">
      <alignment horizontal="center" vertical="center" wrapText="1" indent="1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2" fillId="0" borderId="5" xfId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0" fillId="0" borderId="0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0" xfId="0" applyFont="1"/>
    <xf numFmtId="164" fontId="0" fillId="0" borderId="5" xfId="0" applyNumberFormat="1" applyBorder="1" applyAlignment="1">
      <alignment horizontal="center" vertical="center"/>
    </xf>
    <xf numFmtId="164" fontId="2" fillId="5" borderId="1" xfId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4" formatCode="0.00%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4" formatCode="0.00%"/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DEBF7"/>
          <bgColor rgb="FFDDEBF7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DEBF7"/>
          <bgColor rgb="FFDDEBF7"/>
        </patternFill>
      </fill>
      <alignment horizontal="center" vertic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alignment horizontal="center" vertical="center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relative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21" Type="http://schemas.microsoft.com/office/2017/10/relationships/person" Target="persons/person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ccounts Payable" id="{9CF04808-C10F-4486-ABD8-071DEB7B9155}" userId="S::ap@sagacityvp.com::765cab9b-97cd-49d0-b4f7-ced883f814b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1.663093055555" createdVersion="8" refreshedVersion="8" minRefreshableVersion="3" recordCount="1705" xr:uid="{00000000-000A-0000-FFFF-FFFF00000000}">
  <cacheSource type="worksheet">
    <worksheetSource ref="D1:Z1048576" sheet="Master 2024"/>
  </cacheSource>
  <cacheFields count="15">
    <cacheField name="Week " numFmtId="0">
      <sharedItems containsBlank="1" count="32">
        <s v="Week 1"/>
        <s v="Week 2"/>
        <s v="Week 3"/>
        <s v="Week 4"/>
        <s v="Week 5"/>
        <s v="Week 6"/>
        <s v="Week 7"/>
        <s v="Week 8"/>
        <s v="Week 9"/>
        <s v="Week 10"/>
        <s v="Week 11"/>
        <s v="Week 12"/>
        <s v="Week 13"/>
        <s v="Week 14"/>
        <s v="Week 15"/>
        <s v="Week 16"/>
        <m/>
        <s v="Week 38" u="1"/>
        <s v="Week 39" u="1"/>
        <s v="Week 40" u="1"/>
        <s v="Week 41" u="1"/>
        <s v="Week 42" u="1"/>
        <s v="Week 43" u="1"/>
        <s v="Week 44" u="1"/>
        <s v="Week 45" u="1"/>
        <s v="Week 46" u="1"/>
        <s v="Week 47" u="1"/>
        <s v="Week 48" u="1"/>
        <s v="Week 49" u="1"/>
        <s v="Week 50" u="1"/>
        <s v="Week 51" u="1"/>
        <s v="Week 52" u="1"/>
      </sharedItems>
    </cacheField>
    <cacheField name="Store Code" numFmtId="0">
      <sharedItems containsString="0" containsBlank="1" containsNumber="1" containsInteger="1" minValue="3804001" maxValue="3804033"/>
    </cacheField>
    <cacheField name="Store Name" numFmtId="0">
      <sharedItems containsBlank="1" count="34">
        <s v="Hamilton LC LLC"/>
        <s v="Rising sun LC LLC"/>
        <s v="Latimer LC LLC"/>
        <s v="Broad Street LC LLC"/>
        <s v="Frankford LC LLC"/>
        <s v="COTTMAN LC LLC"/>
        <s v="BLOOMFIELD LC LLC"/>
        <s v="Lincoln HWY LC LLC"/>
        <s v="ROHRERSTOWN  LC LLC"/>
        <s v="South State LC LLC"/>
        <s v="Kutztown Rd LC LLC"/>
        <s v="PERKIOMEN AVE LC LLC"/>
        <s v="Fifth Street LC LLC"/>
        <s v="Lancaster Ave LC LLC"/>
        <s v="Main St SY LC LLC"/>
        <s v="Oswego Rd SY LC LLC"/>
        <s v="Salina St SY LC LLC"/>
        <s v="North St SY LC LLC"/>
        <s v="Bartell Rd SY LC LLC"/>
        <s v="State Rt SY LC LLC"/>
        <s v="Onondaga Blvd SY LC LLC"/>
        <s v="Second st SY LC LLC"/>
        <s v="Manilus st SY LC LLC"/>
        <s v="Central Ave SY LC LLC"/>
        <s v="Seventh St SY LC LLC"/>
        <s v="Pulaski HWY MD LC LLC"/>
        <s v="Governors PL DE LC LLC"/>
        <s v="Foulk Rd DE LC LLC"/>
        <s v="KIRKWOOD HWY DE LC LLC"/>
        <s v="William Dalton Dr LC LLC"/>
        <s v="Yeadon LC LLC"/>
        <s v="COMMERCE CIRCLE LC LLC"/>
        <s v="DELRAN NJ LC LLC"/>
        <m/>
      </sharedItems>
    </cacheField>
    <cacheField name="ARL" numFmtId="0">
      <sharedItems containsBlank="1" count="10">
        <s v="Purnima Patel"/>
        <s v="Bernard"/>
        <s v="Jasmit Patel"/>
        <s v="Gavina"/>
        <s v="Rouchdi"/>
        <s v="Christie"/>
        <s v="Karega Hall"/>
        <s v="Rashmi Kumar"/>
        <m/>
        <s v="Chen" u="1"/>
      </sharedItems>
    </cacheField>
    <cacheField name="Sum of Gross_x000a_ Sales" numFmtId="0">
      <sharedItems containsString="0" containsBlank="1" containsNumber="1" minValue="0" maxValue="27905.91"/>
    </cacheField>
    <cacheField name="Foodcost Blueline" numFmtId="0">
      <sharedItems containsString="0" containsBlank="1" containsNumber="1" minValue="-155.5" maxValue="8813.85"/>
    </cacheField>
    <cacheField name="Pepsico" numFmtId="0">
      <sharedItems containsString="0" containsBlank="1" containsNumber="1" minValue="0" maxValue="1523.53"/>
    </cacheField>
    <cacheField name="Total Food Cost" numFmtId="0">
      <sharedItems containsString="0" containsBlank="1" containsNumber="1" minValue="-124" maxValue="9490.69"/>
    </cacheField>
    <cacheField name="Food Cost %" numFmtId="0">
      <sharedItems containsBlank="1" containsMixedTypes="1" containsNumber="1" minValue="0" maxValue="0.91410882243051372"/>
    </cacheField>
    <cacheField name="Normal Hours " numFmtId="0">
      <sharedItems containsBlank="1" containsMixedTypes="1" containsNumber="1" minValue="0" maxValue="350.4"/>
    </cacheField>
    <cacheField name="OT Hours" numFmtId="0">
      <sharedItems containsBlank="1" containsMixedTypes="1" containsNumber="1" minValue="0" maxValue="69.989999999999995"/>
    </cacheField>
    <cacheField name="Paid Time Off" numFmtId="0">
      <sharedItems containsString="0" containsBlank="1" containsNumber="1" containsInteger="1" minValue="40" maxValue="40"/>
    </cacheField>
    <cacheField name="Total Hours" numFmtId="0">
      <sharedItems containsString="0" containsBlank="1" containsNumber="1" minValue="0" maxValue="405.98"/>
    </cacheField>
    <cacheField name="Wages" numFmtId="0">
      <sharedItems containsBlank="1" containsMixedTypes="1" containsNumber="1" minValue="0" maxValue="6171.01"/>
    </cacheField>
    <cacheField name="Wages %" numFmtId="0">
      <sharedItems containsBlank="1" containsMixedTypes="1" containsNumber="1" minValue="0" maxValue="1.0068193584090546"/>
    </cacheField>
  </cacheFields>
  <extLst>
    <ext xmlns:x14="http://schemas.microsoft.com/office/spreadsheetml/2009/9/main" uri="{725AE2AE-9491-48be-B2B4-4EB974FC3084}">
      <x14:pivotCacheDefinition pivotCacheId="18541977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5">
  <r>
    <x v="0"/>
    <n v="3804001"/>
    <x v="0"/>
    <x v="0"/>
    <n v="24133.99"/>
    <n v="6505.87"/>
    <n v="630.76"/>
    <n v="7136.63"/>
    <n v="0.2957086664907046"/>
    <n v="185.06"/>
    <n v="69.989999999999995"/>
    <m/>
    <n v="255.05"/>
    <n v="6171.01"/>
    <n v="0.25569787672904482"/>
  </r>
  <r>
    <x v="0"/>
    <n v="3804002"/>
    <x v="1"/>
    <x v="1"/>
    <n v="11945.56"/>
    <n v="4168.6099999999997"/>
    <n v="833.2"/>
    <n v="5001.8099999999995"/>
    <n v="0.41871707981877782"/>
    <n v="222.83"/>
    <n v="4.32"/>
    <m/>
    <n v="227.15"/>
    <n v="2984.39"/>
    <n v="0.24983257377636545"/>
  </r>
  <r>
    <x v="0"/>
    <n v="3804003"/>
    <x v="2"/>
    <x v="1"/>
    <n v="2240.6799999999998"/>
    <n v="1567.08"/>
    <n v="0"/>
    <n v="1567.08"/>
    <n v="0.69937697484692152"/>
    <n v="150.28"/>
    <n v="1.45"/>
    <m/>
    <n v="151.72999999999999"/>
    <n v="2255.96"/>
    <n v="1.0068193584090546"/>
  </r>
  <r>
    <x v="0"/>
    <n v="3804004"/>
    <x v="3"/>
    <x v="1"/>
    <n v="14517.8"/>
    <n v="4028.53"/>
    <n v="0"/>
    <n v="4028.53"/>
    <n v="0.27748901348689198"/>
    <n v="275.31"/>
    <n v="0.77"/>
    <m/>
    <n v="276.08"/>
    <n v="3708.09"/>
    <n v="0.25541679868850653"/>
  </r>
  <r>
    <x v="0"/>
    <n v="3804005"/>
    <x v="4"/>
    <x v="1"/>
    <n v="12383.56"/>
    <n v="3515.06"/>
    <n v="1523.53"/>
    <n v="5038.59"/>
    <n v="0.40687734383327578"/>
    <n v="228"/>
    <n v="1.23"/>
    <m/>
    <n v="229.23"/>
    <n v="3214.42"/>
    <n v="0.2595715610050745"/>
  </r>
  <r>
    <x v="0"/>
    <n v="3804006"/>
    <x v="5"/>
    <x v="1"/>
    <n v="10158.93"/>
    <n v="3637.51"/>
    <n v="0"/>
    <n v="3637.51"/>
    <n v="0.3580603469066132"/>
    <n v="217.25"/>
    <n v="10.050000000000001"/>
    <m/>
    <n v="227.3"/>
    <n v="2888.79"/>
    <n v="0.28435967173708254"/>
  </r>
  <r>
    <x v="0"/>
    <n v="3804007"/>
    <x v="6"/>
    <x v="2"/>
    <n v="8027.39"/>
    <n v="2745.66"/>
    <n v="171.26"/>
    <n v="2916.92"/>
    <n v="0.36337090885082202"/>
    <n v="238.67"/>
    <n v="10.26"/>
    <m/>
    <n v="248.92999999999998"/>
    <n v="2943.45"/>
    <n v="0.36667584358054106"/>
  </r>
  <r>
    <x v="0"/>
    <n v="3804008"/>
    <x v="7"/>
    <x v="2"/>
    <n v="17843.43"/>
    <n v="6259.46"/>
    <n v="0"/>
    <n v="6259.46"/>
    <n v="0.35079914567995052"/>
    <n v="229.14"/>
    <n v="40"/>
    <m/>
    <n v="269.14"/>
    <n v="5069.7700000000004"/>
    <n v="0.28412530550460313"/>
  </r>
  <r>
    <x v="0"/>
    <n v="3804009"/>
    <x v="8"/>
    <x v="2"/>
    <n v="11383.67"/>
    <n v="3725.59"/>
    <n v="0"/>
    <n v="3725.59"/>
    <n v="0.32727494735880436"/>
    <n v="0"/>
    <n v="0"/>
    <m/>
    <n v="0"/>
    <n v="0"/>
    <n v="0"/>
  </r>
  <r>
    <x v="0"/>
    <n v="3804010"/>
    <x v="9"/>
    <x v="3"/>
    <n v="8753.7900000000009"/>
    <n v="3051.48"/>
    <n v="0"/>
    <n v="3051.48"/>
    <n v="0.34858958234090603"/>
    <n v="237.64"/>
    <n v="0"/>
    <m/>
    <n v="237.64"/>
    <n v="3015.33"/>
    <n v="0.34445994249347994"/>
  </r>
  <r>
    <x v="0"/>
    <n v="3804011"/>
    <x v="10"/>
    <x v="3"/>
    <n v="19964.03"/>
    <n v="6630.02"/>
    <n v="551.76"/>
    <n v="7181.7800000000007"/>
    <n v="0.35973598516932709"/>
    <n v="340.67"/>
    <n v="65.31"/>
    <m/>
    <n v="405.98"/>
    <n v="5641.17"/>
    <n v="0.28256669620312136"/>
  </r>
  <r>
    <x v="0"/>
    <n v="3804012"/>
    <x v="11"/>
    <x v="3"/>
    <n v="5893.21"/>
    <n v="1516.07"/>
    <n v="240.55"/>
    <n v="1756.62"/>
    <n v="0.29807524252487183"/>
    <n v="130.69999999999999"/>
    <n v="20.78"/>
    <m/>
    <n v="151.47999999999999"/>
    <n v="2024.94"/>
    <n v="0.34360560713091848"/>
  </r>
  <r>
    <x v="0"/>
    <n v="3804013"/>
    <x v="12"/>
    <x v="3"/>
    <n v="6645.67"/>
    <n v="2692.35"/>
    <n v="300.37"/>
    <n v="2992.72"/>
    <n v="0.45032630269032314"/>
    <n v="192.49"/>
    <n v="21.68"/>
    <m/>
    <n v="214.17000000000002"/>
    <n v="2740.4"/>
    <n v="0.41235872380061001"/>
  </r>
  <r>
    <x v="0"/>
    <n v="3804014"/>
    <x v="13"/>
    <x v="3"/>
    <n v="7783.71"/>
    <n v="3248.4"/>
    <n v="241.88"/>
    <n v="3490.28"/>
    <n v="0.44840827831458263"/>
    <n v="218.41"/>
    <n v="16.63"/>
    <m/>
    <n v="235.04"/>
    <n v="3334.86"/>
    <n v="0.42844093626304169"/>
  </r>
  <r>
    <x v="0"/>
    <n v="3804015"/>
    <x v="14"/>
    <x v="4"/>
    <n v="14514.33"/>
    <n v="3280.79"/>
    <n v="315.60000000000002"/>
    <n v="3596.39"/>
    <n v="0.24778201956273557"/>
    <n v="249.51"/>
    <n v="3.48"/>
    <m/>
    <n v="252.98999999999998"/>
    <n v="4008.66"/>
    <n v="0.2761863620298009"/>
  </r>
  <r>
    <x v="0"/>
    <n v="3804016"/>
    <x v="15"/>
    <x v="5"/>
    <n v="12457.34"/>
    <n v="4864.68"/>
    <n v="362.17"/>
    <n v="5226.8500000000004"/>
    <n v="0.41957994242751667"/>
    <n v="180.81"/>
    <n v="9.65"/>
    <m/>
    <n v="190.46"/>
    <n v="3138.15"/>
    <n v="0.25191172433280301"/>
  </r>
  <r>
    <x v="0"/>
    <n v="3804017"/>
    <x v="16"/>
    <x v="5"/>
    <n v="19115.330000000002"/>
    <n v="7016.83"/>
    <n v="445.09"/>
    <n v="7461.92"/>
    <n v="0.39036312739565571"/>
    <n v="313.25"/>
    <n v="0.59"/>
    <m/>
    <n v="313.83999999999997"/>
    <n v="4813.6099999999997"/>
    <n v="0.2518193512746052"/>
  </r>
  <r>
    <x v="0"/>
    <n v="3804018"/>
    <x v="17"/>
    <x v="4"/>
    <n v="17140.89"/>
    <n v="6435"/>
    <n v="628.55999999999995"/>
    <n v="7063.5599999999995"/>
    <n v="0.41208828713094825"/>
    <n v="256.67"/>
    <n v="0"/>
    <m/>
    <n v="256.67"/>
    <n v="4127.63"/>
    <n v="0.24080604916080789"/>
  </r>
  <r>
    <x v="0"/>
    <n v="3804019"/>
    <x v="18"/>
    <x v="4"/>
    <n v="11209.89"/>
    <n v="4201.2299999999996"/>
    <n v="183.51"/>
    <n v="4384.74"/>
    <n v="0.39114924410498231"/>
    <n v="200.75"/>
    <n v="0"/>
    <m/>
    <n v="200.75"/>
    <n v="3122.96"/>
    <n v="0.27858970962248514"/>
  </r>
  <r>
    <x v="0"/>
    <n v="3804020"/>
    <x v="19"/>
    <x v="5"/>
    <n v="10649.22"/>
    <n v="4890.75"/>
    <n v="262.26"/>
    <n v="5153.01"/>
    <n v="0.48388614377391026"/>
    <n v="160.5"/>
    <n v="9.1999999999999993"/>
    <m/>
    <n v="169.7"/>
    <n v="2768.07"/>
    <n v="0.25993171330858039"/>
  </r>
  <r>
    <x v="0"/>
    <n v="3804021"/>
    <x v="20"/>
    <x v="5"/>
    <n v="20822.25"/>
    <n v="6134.22"/>
    <n v="706.92"/>
    <n v="6841.14"/>
    <n v="0.32854950833843605"/>
    <n v="301.72000000000003"/>
    <n v="1.33"/>
    <m/>
    <n v="303.05"/>
    <n v="4746.9399999999996"/>
    <n v="0.22797440238206723"/>
  </r>
  <r>
    <x v="0"/>
    <n v="3804022"/>
    <x v="21"/>
    <x v="5"/>
    <n v="13027.98"/>
    <n v="3908.22"/>
    <n v="453.08"/>
    <n v="4361.3"/>
    <n v="0.3347641000369973"/>
    <n v="182.37"/>
    <n v="10.78"/>
    <m/>
    <n v="193.15"/>
    <n v="3231.32"/>
    <n v="0.24802924167829551"/>
  </r>
  <r>
    <x v="0"/>
    <n v="3804023"/>
    <x v="22"/>
    <x v="5"/>
    <n v="14436.75"/>
    <n v="6300.85"/>
    <n v="564.96"/>
    <n v="6865.81"/>
    <n v="0.47557864477808376"/>
    <n v="236.54"/>
    <n v="12.57"/>
    <m/>
    <n v="249.10999999999999"/>
    <n v="3967.73"/>
    <n v="0.27483540270490242"/>
  </r>
  <r>
    <x v="0"/>
    <n v="3804024"/>
    <x v="23"/>
    <x v="4"/>
    <n v="9935.77"/>
    <n v="2662.6"/>
    <n v="710.43"/>
    <n v="3373.0299999999997"/>
    <n v="0.33948350253679377"/>
    <n v="184.14"/>
    <n v="4.0999999999999996"/>
    <m/>
    <n v="188.23999999999998"/>
    <n v="3325.11"/>
    <n v="0.33466052454917938"/>
  </r>
  <r>
    <x v="0"/>
    <n v="3804025"/>
    <x v="24"/>
    <x v="4"/>
    <n v="20828.8"/>
    <n v="7632.34"/>
    <n v="823.72"/>
    <n v="8456.06"/>
    <n v="0.40597922107850665"/>
    <n v="308.25"/>
    <n v="6.76"/>
    <m/>
    <n v="315.01"/>
    <n v="5014.38"/>
    <n v="0.24074262559532955"/>
  </r>
  <r>
    <x v="0"/>
    <n v="3804026"/>
    <x v="25"/>
    <x v="1"/>
    <n v="10300.799999999999"/>
    <n v="4295.1899999999996"/>
    <n v="403.38"/>
    <n v="4698.57"/>
    <n v="0.45613641658900278"/>
    <n v="229.36"/>
    <n v="0"/>
    <m/>
    <n v="229.36"/>
    <n v="3497.11"/>
    <n v="0.3394988738738739"/>
  </r>
  <r>
    <x v="0"/>
    <n v="3804027"/>
    <x v="26"/>
    <x v="1"/>
    <n v="12120.1"/>
    <n v="3848.67"/>
    <n v="542.23"/>
    <n v="4390.8999999999996"/>
    <n v="0.36228248941840407"/>
    <n v="259.13"/>
    <n v="5.33"/>
    <m/>
    <n v="264.45999999999998"/>
    <n v="3754.82"/>
    <n v="0.30980107424856229"/>
  </r>
  <r>
    <x v="0"/>
    <n v="3804028"/>
    <x v="27"/>
    <x v="1"/>
    <n v="0"/>
    <n v="-124"/>
    <n v="0"/>
    <n v="-124"/>
    <n v="0"/>
    <n v="0"/>
    <n v="0"/>
    <m/>
    <n v="0"/>
    <n v="0"/>
    <n v="0"/>
  </r>
  <r>
    <x v="0"/>
    <n v="3804029"/>
    <x v="28"/>
    <x v="1"/>
    <n v="9611.39"/>
    <n v="3216.38"/>
    <n v="0"/>
    <n v="3216.38"/>
    <n v="0.33464254389843717"/>
    <n v="80"/>
    <n v="0"/>
    <m/>
    <n v="80"/>
    <n v="1530"/>
    <n v="0.15918613228679723"/>
  </r>
  <r>
    <x v="0"/>
    <n v="3804030"/>
    <x v="29"/>
    <x v="0"/>
    <n v="8241.25"/>
    <n v="2244.37"/>
    <n v="0"/>
    <n v="2244.37"/>
    <n v="0.27233368724404672"/>
    <n v="156.15"/>
    <n v="5.79"/>
    <m/>
    <n v="161.94"/>
    <n v="2565.88"/>
    <n v="0.31134597300166844"/>
  </r>
  <r>
    <x v="0"/>
    <n v="3804031"/>
    <x v="30"/>
    <x v="0"/>
    <n v="8295.26"/>
    <n v="3619.53"/>
    <n v="0"/>
    <n v="3619.53"/>
    <n v="0.43633713711203748"/>
    <n v="43.5"/>
    <n v="0"/>
    <m/>
    <n v="43.5"/>
    <n v="2456.84"/>
    <n v="0.29617395958655907"/>
  </r>
  <r>
    <x v="0"/>
    <n v="3804032"/>
    <x v="31"/>
    <x v="0"/>
    <n v="5145.66"/>
    <n v="2300.4"/>
    <n v="216.22"/>
    <n v="2516.62"/>
    <n v="0.48907623123175648"/>
    <n v="0"/>
    <n v="0"/>
    <m/>
    <n v="0"/>
    <n v="1780"/>
    <n v="0.34592258330321085"/>
  </r>
  <r>
    <x v="0"/>
    <n v="3804033"/>
    <x v="32"/>
    <x v="0"/>
    <n v="5254.81"/>
    <n v="-155.5"/>
    <n v="216.22"/>
    <n v="60.72"/>
    <n v="1.1555127587867114E-2"/>
    <n v="21.61"/>
    <n v="0"/>
    <m/>
    <n v="21.61"/>
    <n v="1216.96"/>
    <n v="0.23158972446196913"/>
  </r>
  <r>
    <x v="1"/>
    <n v="3804001"/>
    <x v="0"/>
    <x v="0"/>
    <n v="26511.72"/>
    <n v="7684.93"/>
    <n v="1185.83"/>
    <n v="8870.76"/>
    <n v="0.3345976798185859"/>
    <n v="193.41"/>
    <n v="48.9"/>
    <m/>
    <n v="242.31"/>
    <n v="5169.0600000000004"/>
    <n v="0.19497263851609778"/>
  </r>
  <r>
    <x v="1"/>
    <n v="3804002"/>
    <x v="1"/>
    <x v="1"/>
    <n v="12207.41"/>
    <n v="3173.17"/>
    <n v="1003.61"/>
    <n v="4176.78"/>
    <n v="0.34215120160623752"/>
    <n v="336.74"/>
    <n v="0.23"/>
    <m/>
    <n v="336.97"/>
    <n v="4372.6899999999996"/>
    <n v="0.35819965086779254"/>
  </r>
  <r>
    <x v="1"/>
    <n v="3804003"/>
    <x v="2"/>
    <x v="1"/>
    <n v="7410.62"/>
    <n v="1993.16"/>
    <n v="0"/>
    <n v="1993.16"/>
    <n v="0.26895995206878776"/>
    <n v="216.29"/>
    <n v="25.01"/>
    <m/>
    <n v="241.29999999999998"/>
    <n v="4905.21"/>
    <n v="0.66191627691070387"/>
  </r>
  <r>
    <x v="1"/>
    <n v="3804004"/>
    <x v="3"/>
    <x v="1"/>
    <n v="12312.08"/>
    <n v="4045.97"/>
    <n v="0"/>
    <n v="4045.97"/>
    <n v="0.32861791021500836"/>
    <n v="249.51"/>
    <n v="0"/>
    <m/>
    <n v="249.51"/>
    <n v="3429.16"/>
    <n v="0.27851995763510307"/>
  </r>
  <r>
    <x v="1"/>
    <n v="3804005"/>
    <x v="4"/>
    <x v="1"/>
    <n v="12252.56"/>
    <n v="3905.16"/>
    <n v="503.28"/>
    <n v="4408.4399999999996"/>
    <n v="0.35979746273431834"/>
    <n v="236.18"/>
    <n v="12.08"/>
    <m/>
    <n v="248.26000000000002"/>
    <n v="3774.41"/>
    <n v="0.3080507257258891"/>
  </r>
  <r>
    <x v="1"/>
    <n v="3804006"/>
    <x v="5"/>
    <x v="1"/>
    <n v="9700.2099999999991"/>
    <n v="2613.63"/>
    <n v="686.42"/>
    <n v="3300.05"/>
    <n v="0.34020397496549049"/>
    <n v="184.9"/>
    <n v="23.09"/>
    <m/>
    <n v="207.99"/>
    <n v="2847.49"/>
    <n v="0.29354931491173902"/>
  </r>
  <r>
    <x v="1"/>
    <n v="3804007"/>
    <x v="6"/>
    <x v="2"/>
    <n v="8247.32"/>
    <n v="3480.36"/>
    <n v="314.83999999999997"/>
    <n v="3795.2000000000003"/>
    <n v="0.46017372916292815"/>
    <n v="222.43"/>
    <n v="1.0900000000000001"/>
    <m/>
    <n v="223.52"/>
    <n v="2663.8"/>
    <n v="0.32298977122265177"/>
  </r>
  <r>
    <x v="1"/>
    <n v="3804008"/>
    <x v="7"/>
    <x v="2"/>
    <n v="17456.86"/>
    <n v="5470.79"/>
    <n v="392.16"/>
    <n v="5862.95"/>
    <n v="0.33585364149108143"/>
    <n v="230.14"/>
    <n v="40.26"/>
    <m/>
    <n v="270.39999999999998"/>
    <n v="5126.3599999999997"/>
    <n v="0.29365876795712398"/>
  </r>
  <r>
    <x v="1"/>
    <n v="3804009"/>
    <x v="8"/>
    <x v="2"/>
    <n v="13105.93"/>
    <n v="1933.57"/>
    <n v="406.26"/>
    <n v="2339.83"/>
    <n v="0.17853216063262964"/>
    <n v="0"/>
    <n v="0"/>
    <m/>
    <n v="0"/>
    <n v="0"/>
    <n v="0"/>
  </r>
  <r>
    <x v="1"/>
    <n v="3804010"/>
    <x v="9"/>
    <x v="3"/>
    <n v="8136.86"/>
    <n v="3136.53"/>
    <n v="288.61"/>
    <n v="3425.1400000000003"/>
    <n v="0.42094124760657065"/>
    <n v="185.58"/>
    <n v="16.239999999999998"/>
    <m/>
    <n v="201.82000000000002"/>
    <n v="2706.06"/>
    <n v="0.3325680913767719"/>
  </r>
  <r>
    <x v="1"/>
    <n v="3804011"/>
    <x v="10"/>
    <x v="3"/>
    <n v="22296.959999999999"/>
    <n v="6144.14"/>
    <n v="299.89"/>
    <n v="6444.0300000000007"/>
    <n v="0.28900935374149667"/>
    <n v="304.2"/>
    <n v="46.85"/>
    <m/>
    <n v="351.05"/>
    <n v="4957.1499999999996"/>
    <n v="0.22232402982289962"/>
  </r>
  <r>
    <x v="1"/>
    <n v="3804012"/>
    <x v="11"/>
    <x v="3"/>
    <n v="0"/>
    <n v="1766.27"/>
    <n v="0"/>
    <n v="1766.27"/>
    <n v="0"/>
    <n v="122.64"/>
    <n v="13.52"/>
    <m/>
    <n v="136.16"/>
    <n v="1813.04"/>
    <n v="0"/>
  </r>
  <r>
    <x v="1"/>
    <n v="3804013"/>
    <x v="12"/>
    <x v="3"/>
    <n v="6995.85"/>
    <n v="1604.25"/>
    <n v="218.57"/>
    <n v="1822.82"/>
    <n v="0.26055733041731882"/>
    <n v="163.85"/>
    <n v="10.29"/>
    <m/>
    <n v="174.14"/>
    <n v="2168.58"/>
    <n v="0.30998091725808868"/>
  </r>
  <r>
    <x v="1"/>
    <n v="3804014"/>
    <x v="13"/>
    <x v="3"/>
    <n v="8455.91"/>
    <n v="2433.52"/>
    <n v="316.52999999999997"/>
    <n v="2750.05"/>
    <n v="0.32522224101249897"/>
    <n v="200.5"/>
    <n v="5.91"/>
    <m/>
    <n v="206.41"/>
    <n v="2928.18"/>
    <n v="0.34628798083234091"/>
  </r>
  <r>
    <x v="1"/>
    <n v="3804015"/>
    <x v="14"/>
    <x v="4"/>
    <n v="16177.77"/>
    <n v="4352.58"/>
    <n v="268.33"/>
    <n v="4620.91"/>
    <n v="0.28563331040063"/>
    <n v="244.14"/>
    <n v="8.36"/>
    <m/>
    <n v="252.5"/>
    <n v="4073.2"/>
    <n v="0.2517775935743925"/>
  </r>
  <r>
    <x v="1"/>
    <n v="3804016"/>
    <x v="15"/>
    <x v="5"/>
    <n v="14548.36"/>
    <n v="3748.18"/>
    <n v="515.85"/>
    <n v="4264.03"/>
    <n v="0.29309351706996523"/>
    <n v="187.14"/>
    <n v="7.12"/>
    <m/>
    <n v="194.26"/>
    <n v="3142.16"/>
    <n v="0.21598035792350476"/>
  </r>
  <r>
    <x v="1"/>
    <n v="3804017"/>
    <x v="16"/>
    <x v="5"/>
    <n v="17628.310000000001"/>
    <n v="6183.45"/>
    <n v="489.3"/>
    <n v="6672.75"/>
    <n v="0.37852465721331197"/>
    <n v="292.42"/>
    <n v="0.04"/>
    <m/>
    <n v="292.46000000000004"/>
    <n v="4482.3100000000004"/>
    <n v="0.25426770915646479"/>
  </r>
  <r>
    <x v="1"/>
    <n v="3804018"/>
    <x v="17"/>
    <x v="4"/>
    <n v="19208.78"/>
    <n v="6331.93"/>
    <n v="515.13"/>
    <n v="6847.06"/>
    <n v="0.35645470456739059"/>
    <n v="288.87"/>
    <n v="0.09"/>
    <m/>
    <n v="288.95999999999998"/>
    <n v="4744.6400000000003"/>
    <n v="0.24700371392665232"/>
  </r>
  <r>
    <x v="1"/>
    <n v="3804019"/>
    <x v="18"/>
    <x v="4"/>
    <n v="12721.02"/>
    <n v="3951.81"/>
    <n v="0"/>
    <n v="3951.81"/>
    <n v="0.31065197602079075"/>
    <n v="193.26"/>
    <n v="0"/>
    <m/>
    <n v="193.26"/>
    <n v="3009.77"/>
    <n v="0.23659816587034688"/>
  </r>
  <r>
    <x v="1"/>
    <n v="3804020"/>
    <x v="19"/>
    <x v="5"/>
    <n v="11553.57"/>
    <n v="2811.49"/>
    <n v="246.13"/>
    <n v="3057.62"/>
    <n v="0.26464720428404381"/>
    <n v="169.85"/>
    <n v="0"/>
    <m/>
    <n v="169.85"/>
    <n v="2663.09"/>
    <n v="0.23049931752696354"/>
  </r>
  <r>
    <x v="1"/>
    <n v="3804021"/>
    <x v="20"/>
    <x v="5"/>
    <n v="21261.200000000001"/>
    <n v="6774.96"/>
    <n v="733.91"/>
    <n v="7508.87"/>
    <n v="0.35317244558162286"/>
    <n v="281.11"/>
    <n v="6.83"/>
    <m/>
    <n v="287.94"/>
    <n v="4617.08"/>
    <n v="0.21715989690139784"/>
  </r>
  <r>
    <x v="1"/>
    <n v="3804022"/>
    <x v="21"/>
    <x v="5"/>
    <n v="12757.4"/>
    <n v="4349.6400000000003"/>
    <n v="272.04000000000002"/>
    <n v="4621.68"/>
    <n v="0.3622744446360544"/>
    <n v="172.88"/>
    <n v="5.24"/>
    <m/>
    <n v="178.12"/>
    <n v="2927.98"/>
    <n v="0.22951228306708263"/>
  </r>
  <r>
    <x v="1"/>
    <n v="3804023"/>
    <x v="22"/>
    <x v="5"/>
    <n v="14666.84"/>
    <n v="5496"/>
    <n v="399.17"/>
    <n v="5895.17"/>
    <n v="0.40193865890675839"/>
    <n v="206.74"/>
    <n v="6.89"/>
    <m/>
    <n v="213.63"/>
    <n v="3341.08"/>
    <n v="0.22779821693016356"/>
  </r>
  <r>
    <x v="1"/>
    <n v="3804024"/>
    <x v="23"/>
    <x v="4"/>
    <n v="10899.03"/>
    <n v="3714.98"/>
    <n v="292.12"/>
    <n v="4007.1"/>
    <n v="0.36765657127285634"/>
    <n v="176.83"/>
    <n v="6.06"/>
    <m/>
    <n v="182.89000000000001"/>
    <n v="3269.85"/>
    <n v="0.30001293693108466"/>
  </r>
  <r>
    <x v="1"/>
    <n v="3804025"/>
    <x v="24"/>
    <x v="4"/>
    <n v="24608.57"/>
    <n v="6490.32"/>
    <n v="661.91"/>
    <n v="7152.23"/>
    <n v="0.29063980556367153"/>
    <n v="312.33"/>
    <n v="11.16"/>
    <m/>
    <n v="323.49"/>
    <n v="5243.75"/>
    <n v="0.21308633537015764"/>
  </r>
  <r>
    <x v="1"/>
    <n v="3804026"/>
    <x v="25"/>
    <x v="1"/>
    <n v="11601.12"/>
    <n v="3528.5"/>
    <n v="235.44"/>
    <n v="3763.94"/>
    <n v="0.32444626036106855"/>
    <n v="233.44"/>
    <n v="0"/>
    <m/>
    <n v="233.44"/>
    <n v="3526.6"/>
    <n v="0.30398789082433419"/>
  </r>
  <r>
    <x v="1"/>
    <n v="3804027"/>
    <x v="26"/>
    <x v="1"/>
    <n v="12065.9"/>
    <n v="3454.99"/>
    <n v="0"/>
    <n v="3454.99"/>
    <n v="0.28634333120612637"/>
    <n v="225.48"/>
    <n v="0"/>
    <m/>
    <n v="225.48"/>
    <n v="3200.16"/>
    <n v="0.26522348104990096"/>
  </r>
  <r>
    <x v="1"/>
    <n v="3804028"/>
    <x v="27"/>
    <x v="1"/>
    <n v="0"/>
    <n v="-49"/>
    <n v="0"/>
    <n v="-49"/>
    <n v="0"/>
    <n v="0"/>
    <n v="0"/>
    <m/>
    <n v="0"/>
    <n v="0"/>
    <n v="0"/>
  </r>
  <r>
    <x v="1"/>
    <n v="3804029"/>
    <x v="28"/>
    <x v="1"/>
    <n v="9517.52"/>
    <n v="735.67"/>
    <n v="367.81"/>
    <n v="1103.48"/>
    <n v="0.1159419680757172"/>
    <n v="80"/>
    <n v="0"/>
    <m/>
    <n v="80"/>
    <n v="1530"/>
    <n v="0.16075616337028972"/>
  </r>
  <r>
    <x v="1"/>
    <n v="3804030"/>
    <x v="29"/>
    <x v="0"/>
    <n v="8831.02"/>
    <n v="2115.87"/>
    <n v="0"/>
    <n v="2115.87"/>
    <n v="0.2395951996485117"/>
    <n v="159.99"/>
    <n v="0.22"/>
    <m/>
    <n v="160.21"/>
    <n v="2476.37"/>
    <n v="0.28041721114888196"/>
  </r>
  <r>
    <x v="1"/>
    <n v="3804031"/>
    <x v="30"/>
    <x v="0"/>
    <n v="8878.48"/>
    <n v="2480.15"/>
    <n v="0"/>
    <n v="2480.15"/>
    <n v="0.27934398680855282"/>
    <n v="31.6"/>
    <n v="0"/>
    <m/>
    <n v="31.6"/>
    <n v="2271.09"/>
    <n v="0.25579716347843329"/>
  </r>
  <r>
    <x v="1"/>
    <n v="3804032"/>
    <x v="31"/>
    <x v="0"/>
    <n v="5948.83"/>
    <n v="1705.17"/>
    <n v="0"/>
    <n v="1705.17"/>
    <n v="0.28663955769453825"/>
    <n v="0"/>
    <n v="0"/>
    <m/>
    <n v="0"/>
    <n v="1780"/>
    <n v="0.29921850178942749"/>
  </r>
  <r>
    <x v="1"/>
    <n v="3804033"/>
    <x v="32"/>
    <x v="0"/>
    <n v="6510.19"/>
    <n v="3162.07"/>
    <n v="0"/>
    <n v="3162.07"/>
    <n v="0.48571086250938916"/>
    <n v="16.329999999999998"/>
    <n v="0"/>
    <m/>
    <n v="16.329999999999998"/>
    <n v="1137.07"/>
    <n v="0.17466003296370766"/>
  </r>
  <r>
    <x v="2"/>
    <n v="3804001"/>
    <x v="0"/>
    <x v="0"/>
    <n v="26707.439999999999"/>
    <n v="7424.69"/>
    <n v="951.13"/>
    <n v="8375.82"/>
    <n v="0.31361373459979691"/>
    <n v="223.67"/>
    <n v="69.78"/>
    <m/>
    <n v="293.45"/>
    <n v="6151.29"/>
    <n v="0.23032121386400195"/>
  </r>
  <r>
    <x v="2"/>
    <n v="3804002"/>
    <x v="1"/>
    <x v="1"/>
    <n v="11194.49"/>
    <n v="5391.76"/>
    <n v="708.41"/>
    <n v="6100.17"/>
    <n v="0.54492611990363116"/>
    <n v="236.05"/>
    <n v="15.16"/>
    <m/>
    <n v="251.21"/>
    <n v="3734.88"/>
    <n v="0.33363556535402689"/>
  </r>
  <r>
    <x v="2"/>
    <n v="3804003"/>
    <x v="2"/>
    <x v="1"/>
    <n v="4924.72"/>
    <n v="4501.7299999999996"/>
    <n v="0"/>
    <n v="4501.7299999999996"/>
    <n v="0.91410882243051372"/>
    <n v="180.75"/>
    <n v="18"/>
    <m/>
    <n v="198.75"/>
    <n v="3924.13"/>
    <n v="0.79682296658490226"/>
  </r>
  <r>
    <x v="2"/>
    <n v="3804004"/>
    <x v="3"/>
    <x v="1"/>
    <n v="10787.01"/>
    <n v="5052.3"/>
    <n v="928.56"/>
    <n v="5980.8600000000006"/>
    <n v="0.55445021372929115"/>
    <n v="241.28"/>
    <n v="1.65"/>
    <m/>
    <n v="242.93"/>
    <n v="3427.77"/>
    <n v="0.31776831577981296"/>
  </r>
  <r>
    <x v="2"/>
    <n v="3804005"/>
    <x v="4"/>
    <x v="1"/>
    <n v="11595.31"/>
    <n v="5081.46"/>
    <n v="0"/>
    <n v="5081.46"/>
    <n v="0.4382340791233697"/>
    <n v="226.69"/>
    <n v="5.9"/>
    <m/>
    <n v="232.59"/>
    <n v="3663.08"/>
    <n v="0.31591048449761155"/>
  </r>
  <r>
    <x v="2"/>
    <n v="3804006"/>
    <x v="5"/>
    <x v="1"/>
    <n v="8739.06"/>
    <n v="5964.4"/>
    <n v="901.58"/>
    <n v="6865.98"/>
    <n v="0.7856657352163734"/>
    <n v="209.65"/>
    <n v="0"/>
    <m/>
    <n v="209.65"/>
    <n v="2735.67"/>
    <n v="0.31303938867566994"/>
  </r>
  <r>
    <x v="2"/>
    <n v="3804007"/>
    <x v="6"/>
    <x v="2"/>
    <n v="8136.03"/>
    <n v="4060.24"/>
    <n v="183.44"/>
    <n v="4243.6799999999994"/>
    <n v="0.521590997083344"/>
    <n v="221.23"/>
    <n v="10.43"/>
    <m/>
    <n v="231.66"/>
    <n v="2823.23"/>
    <n v="0.34700339108877426"/>
  </r>
  <r>
    <x v="2"/>
    <n v="3804008"/>
    <x v="7"/>
    <x v="2"/>
    <n v="16441.509999999998"/>
    <n v="5854.56"/>
    <n v="433.51"/>
    <n v="6288.0700000000006"/>
    <n v="0.38245088194454169"/>
    <n v="223.49"/>
    <n v="40.090000000000003"/>
    <m/>
    <n v="263.58000000000004"/>
    <n v="5043.5"/>
    <n v="0.30675406334333044"/>
  </r>
  <r>
    <x v="2"/>
    <n v="3804009"/>
    <x v="8"/>
    <x v="2"/>
    <n v="12120.81"/>
    <n v="3299.59"/>
    <n v="0"/>
    <n v="3299.59"/>
    <n v="0.27222520607121142"/>
    <n v="0"/>
    <n v="0"/>
    <m/>
    <n v="0"/>
    <n v="0"/>
    <n v="0"/>
  </r>
  <r>
    <x v="2"/>
    <n v="3804010"/>
    <x v="9"/>
    <x v="3"/>
    <n v="7959.14"/>
    <n v="3983.01"/>
    <n v="334.75"/>
    <n v="4317.76"/>
    <n v="0.54249077161602888"/>
    <n v="198.59"/>
    <n v="0"/>
    <m/>
    <n v="198.59"/>
    <n v="2506.12"/>
    <n v="0.31487321494533327"/>
  </r>
  <r>
    <x v="2"/>
    <n v="3804011"/>
    <x v="10"/>
    <x v="3"/>
    <n v="22828.87"/>
    <n v="7366.18"/>
    <n v="385.06"/>
    <n v="7751.2400000000007"/>
    <n v="0.33953673572104098"/>
    <n v="321.07"/>
    <n v="17.13"/>
    <m/>
    <n v="338.2"/>
    <n v="4325.05"/>
    <n v="0.18945528184268431"/>
  </r>
  <r>
    <x v="2"/>
    <n v="3804012"/>
    <x v="11"/>
    <x v="3"/>
    <n v="0"/>
    <n v="2850.42"/>
    <n v="0"/>
    <n v="2850.42"/>
    <e v="#DIV/0!"/>
    <n v="109.17"/>
    <n v="3.75"/>
    <m/>
    <n v="112.92"/>
    <n v="1461.32"/>
    <e v="#DIV/0!"/>
  </r>
  <r>
    <x v="2"/>
    <n v="3804013"/>
    <x v="12"/>
    <x v="3"/>
    <n v="5934.52"/>
    <n v="3317.82"/>
    <n v="183.84"/>
    <n v="3501.6600000000003"/>
    <n v="0.59004940584916721"/>
    <n v="124.09"/>
    <n v="31.12"/>
    <m/>
    <n v="155.21"/>
    <n v="2149.58"/>
    <n v="0.36221632078078764"/>
  </r>
  <r>
    <x v="2"/>
    <n v="3804014"/>
    <x v="13"/>
    <x v="3"/>
    <n v="8384.42"/>
    <n v="3800.08"/>
    <n v="0"/>
    <n v="3800.08"/>
    <n v="0.45323111199105004"/>
    <n v="203.95"/>
    <n v="1.87"/>
    <m/>
    <n v="205.82"/>
    <n v="2794.13"/>
    <n v="0.33325262808876466"/>
  </r>
  <r>
    <x v="2"/>
    <n v="3804015"/>
    <x v="14"/>
    <x v="4"/>
    <n v="15596.8"/>
    <n v="5195.1000000000004"/>
    <n v="0"/>
    <n v="5195.1000000000004"/>
    <n v="0.33308755642183013"/>
    <n v="256.13"/>
    <n v="5.16"/>
    <m/>
    <n v="261.29000000000002"/>
    <n v="4145.41"/>
    <n v="0.26578593044727122"/>
  </r>
  <r>
    <x v="2"/>
    <n v="3804016"/>
    <x v="15"/>
    <x v="5"/>
    <n v="13699.75"/>
    <n v="5178.12"/>
    <n v="177.09"/>
    <n v="5355.21"/>
    <n v="0.39089837405792077"/>
    <n v="196.14"/>
    <n v="4.37"/>
    <m/>
    <n v="200.51"/>
    <n v="3198.71"/>
    <n v="0.23348674245880399"/>
  </r>
  <r>
    <x v="2"/>
    <n v="3804017"/>
    <x v="16"/>
    <x v="5"/>
    <n v="15242.51"/>
    <n v="6285.52"/>
    <n v="319.72000000000003"/>
    <n v="6605.2400000000007"/>
    <n v="0.4333433273128901"/>
    <n v="270.69"/>
    <n v="3.07"/>
    <m/>
    <n v="273.76"/>
    <n v="4259.24"/>
    <n v="0.27943166840631889"/>
  </r>
  <r>
    <x v="2"/>
    <n v="3804018"/>
    <x v="17"/>
    <x v="4"/>
    <n v="17375.509999999998"/>
    <n v="7261.7"/>
    <n v="561.08000000000004"/>
    <n v="7822.78"/>
    <n v="0.45021872739274993"/>
    <n v="262.04000000000002"/>
    <n v="0"/>
    <m/>
    <n v="262.04000000000002"/>
    <n v="4209.96"/>
    <n v="0.24229274421297564"/>
  </r>
  <r>
    <x v="2"/>
    <n v="3804019"/>
    <x v="18"/>
    <x v="4"/>
    <n v="12372.97"/>
    <n v="4920.2299999999996"/>
    <n v="306.97000000000003"/>
    <n v="5227.2"/>
    <n v="0.42246930203500049"/>
    <n v="194.73"/>
    <n v="0"/>
    <m/>
    <n v="194.73"/>
    <n v="3030.34"/>
    <n v="0.24491613573782206"/>
  </r>
  <r>
    <x v="2"/>
    <n v="3804020"/>
    <x v="19"/>
    <x v="5"/>
    <n v="10745.89"/>
    <n v="3968.85"/>
    <n v="154.33000000000001"/>
    <n v="4123.18"/>
    <n v="0.38369832559238931"/>
    <n v="178.13"/>
    <n v="1.1299999999999999"/>
    <m/>
    <n v="179.26"/>
    <n v="2812.42"/>
    <n v="0.26172052756914505"/>
  </r>
  <r>
    <x v="2"/>
    <n v="3804021"/>
    <x v="20"/>
    <x v="5"/>
    <n v="25477.43"/>
    <n v="6291.95"/>
    <n v="688.47"/>
    <n v="6980.42"/>
    <n v="0.27398446389608372"/>
    <n v="322.81"/>
    <n v="0.12"/>
    <m/>
    <n v="322.93"/>
    <n v="5083.9799999999996"/>
    <n v="0.19954838458981145"/>
  </r>
  <r>
    <x v="2"/>
    <n v="3804022"/>
    <x v="21"/>
    <x v="5"/>
    <n v="13116.62"/>
    <n v="4619.8100000000004"/>
    <n v="203.27"/>
    <n v="4823.0800000000008"/>
    <n v="0.36770753441054177"/>
    <n v="184.95"/>
    <n v="7.51"/>
    <m/>
    <n v="192.45999999999998"/>
    <n v="3199.04"/>
    <n v="0.24389210025143671"/>
  </r>
  <r>
    <x v="2"/>
    <n v="3804023"/>
    <x v="22"/>
    <x v="5"/>
    <n v="16073.96"/>
    <n v="5041.79"/>
    <n v="546.80999999999995"/>
    <n v="5588.6"/>
    <n v="0.34768034759325023"/>
    <n v="231.02"/>
    <n v="10.19"/>
    <m/>
    <n v="241.21"/>
    <n v="4575.95"/>
    <n v="0.28468093736702094"/>
  </r>
  <r>
    <x v="2"/>
    <n v="3804024"/>
    <x v="23"/>
    <x v="4"/>
    <n v="11661.83"/>
    <n v="2784.93"/>
    <n v="212.87"/>
    <n v="2997.7999999999997"/>
    <n v="0.2570608558005047"/>
    <n v="177.53"/>
    <n v="6.16"/>
    <m/>
    <n v="183.69"/>
    <n v="3283.12"/>
    <n v="0.28152699876434489"/>
  </r>
  <r>
    <x v="2"/>
    <n v="3804025"/>
    <x v="24"/>
    <x v="4"/>
    <n v="23651.98"/>
    <n v="8092.83"/>
    <n v="622.66999999999996"/>
    <n v="8715.5"/>
    <n v="0.36848923430511948"/>
    <n v="324.5"/>
    <n v="11.74"/>
    <m/>
    <n v="336.24"/>
    <n v="5341.24"/>
    <n v="0.22582633673798133"/>
  </r>
  <r>
    <x v="2"/>
    <n v="3804026"/>
    <x v="25"/>
    <x v="1"/>
    <n v="10643.47"/>
    <n v="4896.32"/>
    <n v="412.56"/>
    <n v="5308.88"/>
    <n v="0.49879221719984185"/>
    <n v="233.29"/>
    <n v="0"/>
    <m/>
    <n v="233.29"/>
    <n v="3524.35"/>
    <n v="0.33112791223163124"/>
  </r>
  <r>
    <x v="2"/>
    <n v="3804027"/>
    <x v="26"/>
    <x v="1"/>
    <n v="9455.76"/>
    <n v="4274.78"/>
    <n v="393.53"/>
    <n v="4668.3099999999995"/>
    <n v="0.49370013621327102"/>
    <n v="204.52"/>
    <n v="0"/>
    <m/>
    <n v="204.52"/>
    <n v="2899.52"/>
    <n v="0.30664060847568042"/>
  </r>
  <r>
    <x v="2"/>
    <n v="3804028"/>
    <x v="27"/>
    <x v="1"/>
    <n v="0"/>
    <n v="-9"/>
    <n v="0"/>
    <n v="-9"/>
    <e v="#DIV/0!"/>
    <n v="0"/>
    <n v="0"/>
    <m/>
    <n v="0"/>
    <n v="0"/>
    <e v="#DIV/0!"/>
  </r>
  <r>
    <x v="2"/>
    <n v="3804029"/>
    <x v="28"/>
    <x v="1"/>
    <n v="8159.29"/>
    <n v="3578.72"/>
    <n v="0"/>
    <n v="3578.72"/>
    <n v="0.43860679054182411"/>
    <n v="87.22"/>
    <n v="0"/>
    <m/>
    <n v="87.22"/>
    <n v="1645.52"/>
    <n v="0.20167441039600259"/>
  </r>
  <r>
    <x v="2"/>
    <n v="3804030"/>
    <x v="29"/>
    <x v="0"/>
    <n v="7484.3"/>
    <n v="3836.08"/>
    <n v="0"/>
    <n v="3836.08"/>
    <n v="0.5125502719025159"/>
    <n v="127.14"/>
    <n v="13.02"/>
    <m/>
    <n v="140.16"/>
    <n v="2270.91"/>
    <n v="0.30342316582713141"/>
  </r>
  <r>
    <x v="2"/>
    <n v="3804031"/>
    <x v="30"/>
    <x v="0"/>
    <n v="7672.45"/>
    <n v="4050.02"/>
    <n v="0"/>
    <n v="4050.02"/>
    <n v="0.52786528423124301"/>
    <n v="35.68"/>
    <n v="0"/>
    <m/>
    <n v="35.68"/>
    <n v="2470.25"/>
    <n v="0.32196364916030734"/>
  </r>
  <r>
    <x v="2"/>
    <n v="3804032"/>
    <x v="31"/>
    <x v="0"/>
    <n v="5153.01"/>
    <n v="2848.73"/>
    <n v="378.65"/>
    <n v="3227.38"/>
    <n v="0.62630967143475369"/>
    <n v="0"/>
    <n v="0"/>
    <m/>
    <n v="0"/>
    <n v="1900"/>
    <n v="0.36871653654854153"/>
  </r>
  <r>
    <x v="2"/>
    <n v="3804033"/>
    <x v="32"/>
    <x v="0"/>
    <n v="5479.98"/>
    <n v="2938.17"/>
    <n v="378.65"/>
    <n v="3316.82"/>
    <n v="0.60526133307055874"/>
    <n v="15.52"/>
    <n v="0"/>
    <m/>
    <n v="15.52"/>
    <n v="1124.82"/>
    <n v="0.20525987321121611"/>
  </r>
  <r>
    <x v="3"/>
    <n v="3804001"/>
    <x v="0"/>
    <x v="0"/>
    <n v="27458.45"/>
    <n v="6078.18"/>
    <n v="976.88"/>
    <n v="7055.06"/>
    <n v="0.25693584306470324"/>
    <n v="225.35"/>
    <n v="61.35"/>
    <m/>
    <n v="286.7"/>
    <n v="5974.73"/>
    <n v="0.21759167032370724"/>
  </r>
  <r>
    <x v="3"/>
    <n v="3804002"/>
    <x v="1"/>
    <x v="1"/>
    <n v="14252.32"/>
    <n v="3861.08"/>
    <n v="704.07"/>
    <n v="4565.1499999999996"/>
    <n v="0.32030925491428763"/>
    <n v="213.39"/>
    <n v="12.58"/>
    <m/>
    <n v="225.97"/>
    <n v="3155.41"/>
    <n v="0.22139623584090168"/>
  </r>
  <r>
    <x v="3"/>
    <n v="3804003"/>
    <x v="2"/>
    <x v="1"/>
    <n v="7256.48"/>
    <n v="1775.73"/>
    <n v="0"/>
    <n v="1775.73"/>
    <n v="0.24470955614843562"/>
    <n v="191.36"/>
    <n v="20.61"/>
    <m/>
    <n v="211.97000000000003"/>
    <n v="3577.07"/>
    <n v="0.49294837166229361"/>
  </r>
  <r>
    <x v="3"/>
    <n v="3804004"/>
    <x v="3"/>
    <x v="1"/>
    <n v="15991.75"/>
    <n v="3661.66"/>
    <n v="632.76"/>
    <n v="4294.42"/>
    <n v="0.2685397157909547"/>
    <n v="299.06"/>
    <n v="0"/>
    <m/>
    <n v="299.06"/>
    <n v="4106.62"/>
    <n v="0.25679616052026827"/>
  </r>
  <r>
    <x v="3"/>
    <n v="3804005"/>
    <x v="4"/>
    <x v="1"/>
    <n v="13702.16"/>
    <n v="3212.79"/>
    <n v="908.94"/>
    <n v="4121.7299999999996"/>
    <n v="0.3008087775941895"/>
    <n v="218.7"/>
    <n v="23.85"/>
    <m/>
    <n v="242.54999999999998"/>
    <n v="3967.38"/>
    <n v="0.28954413026851245"/>
  </r>
  <r>
    <x v="3"/>
    <n v="3804006"/>
    <x v="5"/>
    <x v="1"/>
    <n v="9369.24"/>
    <n v="1145.52"/>
    <n v="503.88"/>
    <n v="1649.4"/>
    <n v="0.1760441615328458"/>
    <n v="214.26"/>
    <n v="7.15"/>
    <m/>
    <n v="221.41"/>
    <n v="3073.17"/>
    <n v="0.32800632708736249"/>
  </r>
  <r>
    <x v="3"/>
    <n v="3804007"/>
    <x v="6"/>
    <x v="2"/>
    <n v="8840.83"/>
    <n v="2140.2800000000002"/>
    <n v="191.41"/>
    <n v="2331.69"/>
    <n v="0.26374107408467307"/>
    <n v="237.8"/>
    <n v="0"/>
    <m/>
    <n v="237.8"/>
    <n v="2799.42"/>
    <n v="0.31664674018163452"/>
  </r>
  <r>
    <x v="3"/>
    <n v="3804008"/>
    <x v="7"/>
    <x v="2"/>
    <n v="19839.78"/>
    <n v="4553.18"/>
    <n v="372.66"/>
    <n v="4925.84"/>
    <n v="0.24828097892214532"/>
    <n v="231.02"/>
    <n v="44.97"/>
    <m/>
    <n v="275.99"/>
    <n v="5221.7"/>
    <n v="0.26319344266922318"/>
  </r>
  <r>
    <x v="3"/>
    <n v="3804009"/>
    <x v="8"/>
    <x v="2"/>
    <n v="14416.03"/>
    <n v="2559.69"/>
    <n v="286.83"/>
    <n v="2846.52"/>
    <n v="0.19745519397504027"/>
    <n v="0"/>
    <n v="0"/>
    <m/>
    <n v="0"/>
    <s v="                            -  "/>
    <e v="#VALUE!"/>
  </r>
  <r>
    <x v="3"/>
    <n v="3804010"/>
    <x v="9"/>
    <x v="3"/>
    <n v="9223.1"/>
    <n v="4576.76"/>
    <n v="324.7"/>
    <n v="4901.46"/>
    <n v="0.53143303227765071"/>
    <n v="197.1"/>
    <n v="2.13"/>
    <m/>
    <n v="199.23"/>
    <n v="2641.18"/>
    <n v="0.28636575554856825"/>
  </r>
  <r>
    <x v="3"/>
    <n v="3804011"/>
    <x v="10"/>
    <x v="3"/>
    <n v="24913.8"/>
    <n v="5665.57"/>
    <n v="689.73"/>
    <n v="6355.2999999999993"/>
    <n v="0.25509155568399838"/>
    <n v="301.2"/>
    <n v="36.380000000000003"/>
    <m/>
    <n v="337.58"/>
    <n v="4607.47"/>
    <n v="0.18493646091724267"/>
  </r>
  <r>
    <x v="3"/>
    <n v="3804012"/>
    <x v="11"/>
    <x v="3"/>
    <n v="3964.53"/>
    <n v="1170.77"/>
    <n v="214.06"/>
    <n v="1384.83"/>
    <n v="0.34930496174830306"/>
    <n v="110.89"/>
    <n v="3.7"/>
    <m/>
    <n v="114.59"/>
    <n v="1470.13"/>
    <n v="0.37082075302747108"/>
  </r>
  <r>
    <x v="3"/>
    <n v="3804013"/>
    <x v="12"/>
    <x v="3"/>
    <n v="6621.27"/>
    <n v="2385.21"/>
    <n v="724.41"/>
    <n v="3109.62"/>
    <n v="0.46964102052929418"/>
    <n v="140.91"/>
    <n v="11.72"/>
    <m/>
    <n v="152.63"/>
    <n v="1998.64"/>
    <n v="0.30185145749984521"/>
  </r>
  <r>
    <x v="3"/>
    <n v="3804014"/>
    <x v="13"/>
    <x v="3"/>
    <n v="8553.67"/>
    <n v="2190.73"/>
    <n v="354.53"/>
    <n v="2545.2600000000002"/>
    <n v="0.29756350198219012"/>
    <n v="208.07"/>
    <n v="5.86"/>
    <m/>
    <n v="213.93"/>
    <n v="2872.46"/>
    <n v="0.33581608829894066"/>
  </r>
  <r>
    <x v="3"/>
    <n v="3804015"/>
    <x v="14"/>
    <x v="4"/>
    <n v="16335.99"/>
    <n v="4759.18"/>
    <n v="260.36"/>
    <n v="5019.54"/>
    <n v="0.30726879729970452"/>
    <n v="250.69"/>
    <n v="5.1100000000000003"/>
    <m/>
    <n v="255.8"/>
    <n v="4062.57"/>
    <n v="0.24868832559275564"/>
  </r>
  <r>
    <x v="3"/>
    <n v="3804016"/>
    <x v="15"/>
    <x v="5"/>
    <n v="14293.01"/>
    <n v="4498.76"/>
    <n v="988.38"/>
    <n v="5487.14"/>
    <n v="0.3839037403597983"/>
    <n v="202.04"/>
    <n v="11.11"/>
    <m/>
    <n v="213.14999999999998"/>
    <n v="3468.46"/>
    <n v="0.24266826931486091"/>
  </r>
  <r>
    <x v="3"/>
    <n v="3804017"/>
    <x v="16"/>
    <x v="5"/>
    <n v="20484.240000000002"/>
    <n v="4896.75"/>
    <n v="345.54"/>
    <n v="5242.29"/>
    <n v="0.25591820833967965"/>
    <n v="265.95999999999998"/>
    <n v="0"/>
    <m/>
    <n v="265.95999999999998"/>
    <n v="4092.53"/>
    <n v="0.19978920379765125"/>
  </r>
  <r>
    <x v="3"/>
    <n v="3804018"/>
    <x v="17"/>
    <x v="4"/>
    <n v="17895.439999999999"/>
    <n v="5537.43"/>
    <n v="725.57"/>
    <n v="6263"/>
    <n v="0.34997742441649943"/>
    <n v="272.18"/>
    <n v="0"/>
    <m/>
    <n v="272.18"/>
    <n v="4330.07"/>
    <n v="0.24196499219913006"/>
  </r>
  <r>
    <x v="3"/>
    <n v="3804019"/>
    <x v="18"/>
    <x v="4"/>
    <n v="13115.99"/>
    <n v="2769.86"/>
    <n v="290.14999999999998"/>
    <n v="3060.01"/>
    <n v="0.23330377653535878"/>
    <n v="204.69"/>
    <n v="3.66"/>
    <m/>
    <n v="208.35"/>
    <n v="3266.38"/>
    <n v="0.24903800628088313"/>
  </r>
  <r>
    <x v="3"/>
    <n v="3804020"/>
    <x v="19"/>
    <x v="5"/>
    <n v="11859.28"/>
    <n v="3044.82"/>
    <n v="370.98"/>
    <n v="3415.8"/>
    <n v="0.28802760369938141"/>
    <n v="194.81"/>
    <n v="0"/>
    <m/>
    <n v="194.81"/>
    <n v="3020.68"/>
    <n v="0.2547102353599881"/>
  </r>
  <r>
    <x v="3"/>
    <n v="3804021"/>
    <x v="20"/>
    <x v="5"/>
    <n v="27905.91"/>
    <n v="7954.62"/>
    <n v="476.47"/>
    <n v="8431.09"/>
    <n v="0.30212560708466413"/>
    <n v="350.4"/>
    <n v="4.72"/>
    <m/>
    <n v="355.12"/>
    <n v="5588.53"/>
    <n v="0.20026331339848799"/>
  </r>
  <r>
    <x v="3"/>
    <n v="3804022"/>
    <x v="21"/>
    <x v="5"/>
    <n v="14007.51"/>
    <n v="3734.21"/>
    <n v="490.76"/>
    <n v="4224.97"/>
    <n v="0.30162177289182734"/>
    <n v="183.95"/>
    <n v="14.01"/>
    <m/>
    <n v="197.95999999999998"/>
    <n v="3361.51"/>
    <n v="0.23997912548340142"/>
  </r>
  <r>
    <x v="3"/>
    <n v="3804023"/>
    <x v="22"/>
    <x v="5"/>
    <n v="15822.83"/>
    <n v="4313.34"/>
    <n v="231.24"/>
    <n v="4544.58"/>
    <n v="0.2872166357092884"/>
    <n v="207.62"/>
    <n v="6.17"/>
    <m/>
    <n v="213.79"/>
    <n v="3509.81"/>
    <n v="0.22181935848391215"/>
  </r>
  <r>
    <x v="3"/>
    <n v="3804024"/>
    <x v="23"/>
    <x v="4"/>
    <n v="12441.66"/>
    <n v="2633.68"/>
    <n v="260.57"/>
    <n v="2894.25"/>
    <n v="0.23262571071705865"/>
    <n v="177.39"/>
    <n v="7.92"/>
    <m/>
    <n v="185.30999999999997"/>
    <n v="3329.86"/>
    <n v="0.26763791969881834"/>
  </r>
  <r>
    <x v="3"/>
    <n v="3804025"/>
    <x v="24"/>
    <x v="4"/>
    <n v="26415.94"/>
    <n v="6420.8"/>
    <n v="716.45"/>
    <n v="7137.25"/>
    <n v="0.27018724300554892"/>
    <n v="332.18"/>
    <n v="14.38"/>
    <m/>
    <n v="346.56"/>
    <n v="5576.6"/>
    <n v="0.21110738440502214"/>
  </r>
  <r>
    <x v="3"/>
    <n v="3804026"/>
    <x v="25"/>
    <x v="1"/>
    <n v="11945.17"/>
    <n v="2704.12"/>
    <n v="211.68"/>
    <n v="2915.7999999999997"/>
    <n v="0.24409866079762779"/>
    <n v="234.16"/>
    <n v="0"/>
    <m/>
    <n v="234.16"/>
    <n v="3537.4"/>
    <n v="0.2961364300382498"/>
  </r>
  <r>
    <x v="3"/>
    <n v="3804027"/>
    <x v="26"/>
    <x v="1"/>
    <n v="11825.06"/>
    <n v="2960.86"/>
    <n v="606.53"/>
    <n v="3567.3900000000003"/>
    <n v="0.30168049887273302"/>
    <n v="162.94999999999999"/>
    <n v="21.25"/>
    <m/>
    <n v="184.2"/>
    <n v="2883.81"/>
    <n v="0.24387275836232544"/>
  </r>
  <r>
    <x v="3"/>
    <n v="3804028"/>
    <x v="27"/>
    <x v="1"/>
    <n v="0"/>
    <n v="0"/>
    <n v="0"/>
    <n v="0"/>
    <e v="#DIV/0!"/>
    <n v="0"/>
    <n v="0"/>
    <m/>
    <n v="0"/>
    <n v="0"/>
    <e v="#DIV/0!"/>
  </r>
  <r>
    <x v="3"/>
    <n v="3804029"/>
    <x v="28"/>
    <x v="1"/>
    <n v="8764.4699999999993"/>
    <n v="2115.7800000000002"/>
    <n v="438.81"/>
    <n v="2554.59"/>
    <n v="0.29147113288082455"/>
    <n v="120"/>
    <n v="9.7799999999999994"/>
    <m/>
    <n v="129.78"/>
    <n v="2432.06"/>
    <n v="0.27749082374633038"/>
  </r>
  <r>
    <x v="3"/>
    <n v="3804030"/>
    <x v="29"/>
    <x v="0"/>
    <n v="8366.11"/>
    <n v="2157.11"/>
    <n v="0"/>
    <n v="2157.11"/>
    <n v="0.25783906738018025"/>
    <n v="136.22"/>
    <n v="17.600000000000001"/>
    <m/>
    <n v="153.82"/>
    <n v="2518.21"/>
    <n v="0.30100130168023131"/>
  </r>
  <r>
    <x v="3"/>
    <n v="3804031"/>
    <x v="30"/>
    <x v="0"/>
    <n v="9039.35"/>
    <n v="1114.75"/>
    <n v="0"/>
    <n v="1114.75"/>
    <n v="0.12332192027081593"/>
    <n v="40.82"/>
    <n v="0"/>
    <m/>
    <n v="40.82"/>
    <n v="2425.0500000000002"/>
    <n v="0.2682770331937584"/>
  </r>
  <r>
    <x v="3"/>
    <n v="3804032"/>
    <x v="31"/>
    <x v="0"/>
    <n v="5260.4"/>
    <n v="839.94"/>
    <n v="182.3"/>
    <n v="1022.24"/>
    <n v="0.19432742757204777"/>
    <n v="0"/>
    <n v="0"/>
    <m/>
    <n v="0"/>
    <n v="1780"/>
    <n v="0.33837730971028823"/>
  </r>
  <r>
    <x v="3"/>
    <n v="3804033"/>
    <x v="32"/>
    <x v="0"/>
    <n v="6827.08"/>
    <n v="1940"/>
    <n v="182.3"/>
    <n v="2122.3000000000002"/>
    <n v="0.31086496716019152"/>
    <n v="26.75"/>
    <n v="0"/>
    <m/>
    <n v="26.75"/>
    <n v="1294.73"/>
    <n v="0.18964623235702527"/>
  </r>
  <r>
    <x v="4"/>
    <n v="3804001"/>
    <x v="0"/>
    <x v="0"/>
    <n v="26285.9"/>
    <n v="7690.12"/>
    <n v="976.88"/>
    <n v="8667"/>
    <n v="0.3297204965399701"/>
    <n v="172.08"/>
    <n v="31.92"/>
    <n v="40"/>
    <n v="204"/>
    <n v="5013.38"/>
    <n v="0.19072506552942831"/>
  </r>
  <r>
    <x v="4"/>
    <n v="3804002"/>
    <x v="1"/>
    <x v="1"/>
    <n v="13532.53"/>
    <n v="4368.13"/>
    <n v="704.07"/>
    <n v="5072.2"/>
    <n v="0.37481535233988023"/>
    <n v="216.99"/>
    <n v="10.62"/>
    <m/>
    <n v="227.61"/>
    <n v="3197.25"/>
    <n v="0.23626402453938766"/>
  </r>
  <r>
    <x v="4"/>
    <n v="3804003"/>
    <x v="2"/>
    <x v="1"/>
    <n v="6084.49"/>
    <n v="2422.9899999999998"/>
    <n v="0"/>
    <n v="2422.9899999999998"/>
    <n v="0.39822400891446941"/>
    <n v="200.78"/>
    <n v="24.17"/>
    <m/>
    <n v="224.95"/>
    <n v="3939.53"/>
    <n v="0.64747086444385649"/>
  </r>
  <r>
    <x v="4"/>
    <n v="3804004"/>
    <x v="3"/>
    <x v="1"/>
    <n v="15044.7"/>
    <n v="4078.81"/>
    <n v="632.76"/>
    <n v="4711.57"/>
    <n v="0.31317141584744124"/>
    <n v="285.07"/>
    <n v="0"/>
    <m/>
    <n v="285.07"/>
    <n v="3928.44"/>
    <n v="0.26111786875112164"/>
  </r>
  <r>
    <x v="4"/>
    <n v="3804005"/>
    <x v="4"/>
    <x v="1"/>
    <n v="14335.62"/>
    <n v="3696.54"/>
    <n v="0"/>
    <n v="3696.54"/>
    <n v="0.25785700234799747"/>
    <n v="240.65"/>
    <n v="12.83"/>
    <m/>
    <n v="253.48000000000002"/>
    <n v="3821.71"/>
    <n v="0.26658840008314949"/>
  </r>
  <r>
    <x v="4"/>
    <n v="3804006"/>
    <x v="5"/>
    <x v="1"/>
    <n v="9919.31"/>
    <n v="3351.53"/>
    <n v="0"/>
    <n v="3351.53"/>
    <n v="0.33787934846274592"/>
    <n v="219.63"/>
    <n v="0.35"/>
    <m/>
    <n v="219.98"/>
    <n v="2801.08"/>
    <n v="0.28238657729217054"/>
  </r>
  <r>
    <x v="4"/>
    <n v="3804007"/>
    <x v="6"/>
    <x v="2"/>
    <n v="8276.07"/>
    <n v="2544.75"/>
    <n v="215.42"/>
    <n v="2760.17"/>
    <n v="0.33351216217359209"/>
    <n v="250.92"/>
    <n v="0"/>
    <m/>
    <n v="250.92"/>
    <n v="2954.87"/>
    <n v="0.35703782109141174"/>
  </r>
  <r>
    <x v="4"/>
    <n v="3804008"/>
    <x v="7"/>
    <x v="2"/>
    <n v="19113.25"/>
    <n v="7092.69"/>
    <n v="399.73"/>
    <n v="7492.42"/>
    <n v="0.39200136031287197"/>
    <n v="231.3"/>
    <n v="40"/>
    <m/>
    <n v="271.3"/>
    <n v="5135.6000000000004"/>
    <n v="0.26869318404771558"/>
  </r>
  <r>
    <x v="4"/>
    <n v="3804009"/>
    <x v="8"/>
    <x v="2"/>
    <n v="12542.77"/>
    <n v="4446.7"/>
    <n v="289.62"/>
    <n v="4736.32"/>
    <n v="0.37761355745182279"/>
    <n v="0"/>
    <n v="0"/>
    <m/>
    <n v="0"/>
    <n v="0"/>
    <n v="0"/>
  </r>
  <r>
    <x v="4"/>
    <n v="3804010"/>
    <x v="9"/>
    <x v="3"/>
    <n v="7730.05"/>
    <n v="2710.26"/>
    <n v="0"/>
    <n v="2710.26"/>
    <n v="0.35061351478968444"/>
    <n v="226.05"/>
    <n v="0"/>
    <m/>
    <n v="226.05"/>
    <n v="2810.82"/>
    <n v="0.36362248627111082"/>
  </r>
  <r>
    <x v="4"/>
    <n v="3804011"/>
    <x v="10"/>
    <x v="3"/>
    <n v="24271.17"/>
    <n v="5513.54"/>
    <n v="689.73"/>
    <n v="6203.27"/>
    <n v="0.25558182815249536"/>
    <n v="316.35000000000002"/>
    <n v="18.16"/>
    <m/>
    <n v="334.51000000000005"/>
    <n v="4310.18"/>
    <n v="0.17758435213465196"/>
  </r>
  <r>
    <x v="4"/>
    <n v="3804012"/>
    <x v="11"/>
    <x v="3"/>
    <n v="6229.5"/>
    <n v="1750.28"/>
    <n v="214.06"/>
    <n v="1964.34"/>
    <n v="0.31532867806405007"/>
    <n v="104.72"/>
    <n v="33.22"/>
    <m/>
    <n v="137.94"/>
    <n v="2093.1999999999998"/>
    <n v="0.33601412633437672"/>
  </r>
  <r>
    <x v="4"/>
    <n v="3804013"/>
    <x v="12"/>
    <x v="3"/>
    <n v="7155.84"/>
    <n v="2241.5500000000002"/>
    <n v="0"/>
    <n v="2241.5500000000002"/>
    <n v="0.31324764108755926"/>
    <n v="136.66"/>
    <n v="21.45"/>
    <m/>
    <n v="158.10999999999999"/>
    <n v="2422.84"/>
    <n v="0.33858219300599235"/>
  </r>
  <r>
    <x v="4"/>
    <n v="3804014"/>
    <x v="13"/>
    <x v="3"/>
    <n v="8708.99"/>
    <n v="2075.5500000000002"/>
    <n v="354.53"/>
    <n v="2430.08"/>
    <n v="0.27903120798163739"/>
    <n v="218.61"/>
    <n v="12.97"/>
    <m/>
    <n v="231.58"/>
    <n v="3214.29"/>
    <n v="0.36907724087408528"/>
  </r>
  <r>
    <x v="4"/>
    <n v="3804015"/>
    <x v="14"/>
    <x v="4"/>
    <n v="16201.05"/>
    <n v="5389.3"/>
    <n v="182.73"/>
    <n v="5572.03"/>
    <n v="0.34393017736504733"/>
    <n v="251.34"/>
    <n v="5.46"/>
    <m/>
    <n v="256.8"/>
    <n v="4080.96"/>
    <n v="0.25189478459729464"/>
  </r>
  <r>
    <x v="4"/>
    <n v="3804016"/>
    <x v="15"/>
    <x v="5"/>
    <n v="14376.6"/>
    <n v="4940.91"/>
    <n v="422.42"/>
    <n v="5363.33"/>
    <n v="0.37305969422533836"/>
    <n v="198.39"/>
    <n v="8.06"/>
    <m/>
    <n v="206.45"/>
    <n v="3328.4"/>
    <n v="0.23151510092789673"/>
  </r>
  <r>
    <x v="4"/>
    <n v="3804017"/>
    <x v="16"/>
    <x v="5"/>
    <n v="20569.919999999998"/>
    <n v="6127.14"/>
    <n v="391.63"/>
    <n v="6518.77"/>
    <n v="0.31690789268990843"/>
    <n v="280.27999999999997"/>
    <n v="17.489999999999998"/>
    <m/>
    <n v="297.77"/>
    <n v="4845.17"/>
    <n v="0.23554637062273459"/>
  </r>
  <r>
    <x v="4"/>
    <n v="3804018"/>
    <x v="17"/>
    <x v="4"/>
    <n v="18061.52"/>
    <n v="5762.25"/>
    <n v="725.57"/>
    <n v="6487.82"/>
    <n v="0.35920675557760362"/>
    <n v="270.02"/>
    <n v="0"/>
    <m/>
    <n v="270.02"/>
    <n v="4338.38"/>
    <n v="0.2402001603408794"/>
  </r>
  <r>
    <x v="4"/>
    <n v="3804019"/>
    <x v="18"/>
    <x v="4"/>
    <n v="14174.37"/>
    <n v="3340.71"/>
    <n v="171.92"/>
    <n v="3512.63"/>
    <n v="0.24781559956456617"/>
    <n v="213.91"/>
    <n v="0"/>
    <m/>
    <n v="213.91"/>
    <n v="3321.94"/>
    <n v="0.23436244432733164"/>
  </r>
  <r>
    <x v="4"/>
    <n v="3804020"/>
    <x v="19"/>
    <x v="5"/>
    <n v="12908.7"/>
    <n v="3425.59"/>
    <n v="394.99"/>
    <n v="3820.58"/>
    <n v="0.29596938498841863"/>
    <n v="187.13"/>
    <n v="12.07"/>
    <m/>
    <n v="199.2"/>
    <n v="3264.74"/>
    <n v="0.25291005291005286"/>
  </r>
  <r>
    <x v="4"/>
    <n v="3804021"/>
    <x v="20"/>
    <x v="5"/>
    <n v="25167.07"/>
    <n v="7384.25"/>
    <n v="602.26"/>
    <n v="7986.51"/>
    <n v="0.31733968237065341"/>
    <n v="339.6"/>
    <n v="4.72"/>
    <m/>
    <n v="344.32000000000005"/>
    <n v="5465.78"/>
    <n v="0.21717983062787999"/>
  </r>
  <r>
    <x v="4"/>
    <n v="3804022"/>
    <x v="21"/>
    <x v="5"/>
    <n v="14605.18"/>
    <n v="4596.7700000000004"/>
    <n v="490.76"/>
    <n v="5087.5300000000007"/>
    <n v="0.34833737071367832"/>
    <n v="194.1"/>
    <n v="17.62"/>
    <m/>
    <n v="211.72"/>
    <n v="3597.9"/>
    <n v="0.2463441053105816"/>
  </r>
  <r>
    <x v="4"/>
    <n v="3804023"/>
    <x v="22"/>
    <x v="5"/>
    <n v="16815.96"/>
    <n v="4982.7"/>
    <n v="275.79000000000002"/>
    <n v="5258.49"/>
    <n v="0.31270828427279801"/>
    <n v="255.98"/>
    <n v="9.6"/>
    <m/>
    <n v="265.58"/>
    <n v="4267.03"/>
    <n v="0.25374881957378587"/>
  </r>
  <r>
    <x v="4"/>
    <n v="3804024"/>
    <x v="23"/>
    <x v="4"/>
    <n v="12141.19"/>
    <n v="3209.8"/>
    <n v="260.57"/>
    <n v="3470.3700000000003"/>
    <n v="0.28583441985505542"/>
    <n v="180.97"/>
    <n v="1.75"/>
    <m/>
    <n v="182.72"/>
    <n v="3212.34"/>
    <n v="0.26458197260729799"/>
  </r>
  <r>
    <x v="4"/>
    <n v="3804025"/>
    <x v="24"/>
    <x v="4"/>
    <n v="27033.19"/>
    <n v="7427.91"/>
    <n v="536.17999999999995"/>
    <n v="7964.09"/>
    <n v="0.29460415141535279"/>
    <n v="320.79000000000002"/>
    <n v="14.45"/>
    <m/>
    <n v="335.24"/>
    <n v="5399.09"/>
    <n v="0.1997207876687879"/>
  </r>
  <r>
    <x v="4"/>
    <n v="3804026"/>
    <x v="25"/>
    <x v="1"/>
    <n v="11467.16"/>
    <n v="3541.99"/>
    <n v="330.48"/>
    <n v="3872.47"/>
    <n v="0.33770087798548198"/>
    <n v="227.05"/>
    <n v="0"/>
    <m/>
    <n v="227.05"/>
    <n v="3430.75"/>
    <n v="0.29918044223678747"/>
  </r>
  <r>
    <x v="4"/>
    <n v="3804027"/>
    <x v="26"/>
    <x v="1"/>
    <n v="12101.75"/>
    <n v="2782.93"/>
    <n v="0"/>
    <n v="2782.93"/>
    <n v="0.22996095606007394"/>
    <n v="231.4"/>
    <n v="12.97"/>
    <m/>
    <n v="244.37"/>
    <n v="4794.66"/>
    <n v="0.39619559154667711"/>
  </r>
  <r>
    <x v="4"/>
    <n v="3804028"/>
    <x v="27"/>
    <x v="1"/>
    <n v="0"/>
    <n v="0"/>
    <n v="0"/>
    <n v="0"/>
    <n v="0"/>
    <s v="                         -  "/>
    <s v="              -  "/>
    <m/>
    <n v="0"/>
    <s v=" -   "/>
    <e v="#VALUE!"/>
  </r>
  <r>
    <x v="4"/>
    <n v="3804029"/>
    <x v="28"/>
    <x v="1"/>
    <n v="10006.530000000001"/>
    <n v="874.94"/>
    <n v="0"/>
    <n v="874.94"/>
    <n v="8.7436903701882673E-2"/>
    <n v="88.95"/>
    <n v="0"/>
    <m/>
    <n v="88.95"/>
    <n v="1677.68"/>
    <n v="0.16765851898710141"/>
  </r>
  <r>
    <x v="4"/>
    <n v="3804030"/>
    <x v="29"/>
    <x v="0"/>
    <n v="8973.92"/>
    <n v="2222.81"/>
    <n v="0"/>
    <n v="2222.81"/>
    <n v="0.24769665876228003"/>
    <n v="137.68"/>
    <n v="18.239999999999998"/>
    <m/>
    <n v="155.92000000000002"/>
    <n v="2555.66"/>
    <n v="0.28478747303296664"/>
  </r>
  <r>
    <x v="4"/>
    <n v="3804031"/>
    <x v="30"/>
    <x v="0"/>
    <n v="8848.34"/>
    <n v="3064.59"/>
    <n v="0"/>
    <n v="3064.59"/>
    <n v="0.34634632032675056"/>
    <n v="42.97"/>
    <n v="0"/>
    <m/>
    <n v="42.97"/>
    <n v="2458.4499999999998"/>
    <n v="0.27784307565034794"/>
  </r>
  <r>
    <x v="4"/>
    <n v="3804032"/>
    <x v="31"/>
    <x v="0"/>
    <n v="5180.21"/>
    <n v="1343.53"/>
    <n v="0"/>
    <n v="1343.53"/>
    <n v="0.25935821134664422"/>
    <n v="0"/>
    <n v="0"/>
    <m/>
    <n v="0"/>
    <n v="1780"/>
    <n v="0.34361541327475142"/>
  </r>
  <r>
    <x v="4"/>
    <n v="3804033"/>
    <x v="32"/>
    <x v="0"/>
    <n v="6639"/>
    <n v="2240.6999999999998"/>
    <n v="236.67"/>
    <n v="2477.37"/>
    <n v="0.37315408947130591"/>
    <n v="20.5"/>
    <n v="0"/>
    <m/>
    <n v="20.5"/>
    <n v="1200.17"/>
    <n v="0.18077571923482452"/>
  </r>
  <r>
    <x v="5"/>
    <n v="3804001"/>
    <x v="0"/>
    <x v="0"/>
    <n v="24567.279999999999"/>
    <n v="8378.4599999999991"/>
    <n v="900.01"/>
    <n v="9278.4699999999993"/>
    <n v="0.37767591691062258"/>
    <n v="191.1"/>
    <n v="59.34"/>
    <m/>
    <n v="250.44"/>
    <m/>
    <n v="0"/>
  </r>
  <r>
    <x v="5"/>
    <n v="3804002"/>
    <x v="1"/>
    <x v="1"/>
    <n v="14798.81"/>
    <n v="4668.6400000000003"/>
    <n v="868.46"/>
    <n v="5537.1"/>
    <n v="0.37415846274126097"/>
    <n v="247.36"/>
    <n v="11.59"/>
    <m/>
    <n v="258.95"/>
    <m/>
    <n v="0"/>
  </r>
  <r>
    <x v="5"/>
    <n v="3804003"/>
    <x v="2"/>
    <x v="1"/>
    <n v="8676.7199999999993"/>
    <n v="3241.99"/>
    <n v="0"/>
    <n v="3241.99"/>
    <n v="0.3736423441115998"/>
    <n v="256.75"/>
    <n v="30.12"/>
    <m/>
    <n v="286.87"/>
    <m/>
    <n v="0"/>
  </r>
  <r>
    <x v="5"/>
    <n v="3804004"/>
    <x v="3"/>
    <x v="1"/>
    <n v="12656.91"/>
    <n v="4225.41"/>
    <n v="1149.92"/>
    <n v="5375.33"/>
    <n v="0.42469528502612408"/>
    <n v="273.8"/>
    <n v="0"/>
    <m/>
    <n v="273.8"/>
    <m/>
    <n v="0"/>
  </r>
  <r>
    <x v="5"/>
    <n v="3804005"/>
    <x v="4"/>
    <x v="1"/>
    <n v="12662.39"/>
    <n v="4760.51"/>
    <n v="454.96"/>
    <n v="5215.47"/>
    <n v="0.41188669753498358"/>
    <n v="194.1"/>
    <n v="25.83"/>
    <m/>
    <n v="219.93"/>
    <m/>
    <n v="0"/>
  </r>
  <r>
    <x v="5"/>
    <n v="3804006"/>
    <x v="5"/>
    <x v="1"/>
    <n v="9711.92"/>
    <n v="4363.2"/>
    <n v="0"/>
    <n v="4363.2"/>
    <n v="0.44926234977223861"/>
    <n v="230.76"/>
    <n v="0"/>
    <m/>
    <n v="230.76"/>
    <m/>
    <n v="0"/>
  </r>
  <r>
    <x v="5"/>
    <n v="3804007"/>
    <x v="6"/>
    <x v="2"/>
    <n v="8928.39"/>
    <n v="4893.6000000000004"/>
    <n v="183.85"/>
    <n v="5077.4500000000007"/>
    <n v="0.5686859556986199"/>
    <n v="259.45"/>
    <n v="6.56"/>
    <m/>
    <n v="266.01"/>
    <m/>
    <n v="0"/>
  </r>
  <r>
    <x v="5"/>
    <n v="3804008"/>
    <x v="7"/>
    <x v="2"/>
    <n v="18575.29"/>
    <n v="5344.32"/>
    <n v="653.44000000000005"/>
    <n v="5997.76"/>
    <n v="0.32288917158224717"/>
    <n v="229.7"/>
    <n v="40.01"/>
    <m/>
    <n v="269.70999999999998"/>
    <m/>
    <n v="0"/>
  </r>
  <r>
    <x v="5"/>
    <n v="3804009"/>
    <x v="8"/>
    <x v="2"/>
    <n v="14080.51"/>
    <n v="2825.64"/>
    <n v="0"/>
    <n v="2825.64"/>
    <n v="0.20067739023657521"/>
    <n v="0"/>
    <n v="0"/>
    <m/>
    <n v="0"/>
    <m/>
    <n v="0"/>
  </r>
  <r>
    <x v="5"/>
    <n v="3804010"/>
    <x v="9"/>
    <x v="3"/>
    <n v="7956.95"/>
    <n v="3274.09"/>
    <n v="261.48"/>
    <n v="3535.57"/>
    <n v="0.44433734031255701"/>
    <n v="185.07"/>
    <n v="1.38"/>
    <m/>
    <n v="186.45"/>
    <m/>
    <n v="0"/>
  </r>
  <r>
    <x v="5"/>
    <n v="3804011"/>
    <x v="10"/>
    <x v="3"/>
    <n v="22069.26"/>
    <n v="6845.13"/>
    <n v="647.65"/>
    <n v="7492.78"/>
    <n v="0.33951206338590423"/>
    <n v="324.68"/>
    <n v="25.33"/>
    <m/>
    <n v="350.01"/>
    <m/>
    <n v="0"/>
  </r>
  <r>
    <x v="5"/>
    <n v="3804012"/>
    <x v="11"/>
    <x v="3"/>
    <n v="6205.43"/>
    <n v="937.76"/>
    <n v="0"/>
    <n v="937.76"/>
    <n v="0.15111926167888445"/>
    <n v="116.01"/>
    <n v="28.49"/>
    <m/>
    <n v="144.5"/>
    <m/>
    <n v="0"/>
  </r>
  <r>
    <x v="5"/>
    <n v="3804013"/>
    <x v="12"/>
    <x v="3"/>
    <n v="7902.97"/>
    <n v="1706.49"/>
    <n v="0"/>
    <n v="1706.49"/>
    <n v="0.21593021357793335"/>
    <n v="121.09"/>
    <n v="24.07"/>
    <m/>
    <n v="145.16"/>
    <m/>
    <n v="0"/>
  </r>
  <r>
    <x v="5"/>
    <n v="3804014"/>
    <x v="13"/>
    <x v="3"/>
    <n v="9673.14"/>
    <n v="3117.47"/>
    <n v="0"/>
    <n v="3117.47"/>
    <n v="0.32228107935995964"/>
    <n v="204.6"/>
    <n v="5.41"/>
    <m/>
    <n v="210.01"/>
    <m/>
    <n v="0"/>
  </r>
  <r>
    <x v="5"/>
    <n v="3804015"/>
    <x v="14"/>
    <x v="4"/>
    <n v="16656.71"/>
    <n v="4344.22"/>
    <n v="246.44"/>
    <n v="4590.66"/>
    <n v="0.27560424597654637"/>
    <n v="256.13"/>
    <n v="7.32"/>
    <m/>
    <n v="263.45"/>
    <m/>
    <n v="0"/>
  </r>
  <r>
    <x v="5"/>
    <n v="3804016"/>
    <x v="15"/>
    <x v="5"/>
    <n v="14961.04"/>
    <n v="4546.75"/>
    <n v="399.3"/>
    <n v="4946.05"/>
    <n v="0.33059533294476856"/>
    <n v="209.96"/>
    <n v="5.46"/>
    <m/>
    <n v="215.42000000000002"/>
    <m/>
    <n v="0"/>
  </r>
  <r>
    <x v="5"/>
    <n v="3804017"/>
    <x v="16"/>
    <x v="5"/>
    <n v="19881.169999999998"/>
    <n v="6954.54"/>
    <n v="469.07"/>
    <n v="7423.61"/>
    <n v="0.37339905045829802"/>
    <n v="312.01"/>
    <n v="0"/>
    <m/>
    <n v="312.01"/>
    <m/>
    <n v="0"/>
  </r>
  <r>
    <x v="5"/>
    <n v="3804018"/>
    <x v="17"/>
    <x v="4"/>
    <n v="17235.93"/>
    <n v="5594.59"/>
    <n v="650"/>
    <n v="6244.59"/>
    <n v="0.36230072876833452"/>
    <n v="258.36"/>
    <n v="0"/>
    <m/>
    <n v="258.36"/>
    <m/>
    <n v="0"/>
  </r>
  <r>
    <x v="5"/>
    <n v="3804019"/>
    <x v="18"/>
    <x v="4"/>
    <n v="13102.82"/>
    <n v="4589.1400000000003"/>
    <n v="0"/>
    <n v="4589.1400000000003"/>
    <n v="0.35024063522203619"/>
    <n v="206.2"/>
    <n v="0.26"/>
    <m/>
    <n v="206.45999999999998"/>
    <m/>
    <n v="0"/>
  </r>
  <r>
    <x v="5"/>
    <n v="3804020"/>
    <x v="19"/>
    <x v="5"/>
    <n v="11631.19"/>
    <n v="3909.83"/>
    <n v="183.01"/>
    <n v="4092.84"/>
    <n v="0.3518848888204904"/>
    <n v="185.74"/>
    <n v="0"/>
    <m/>
    <n v="185.74"/>
    <m/>
    <n v="0"/>
  </r>
  <r>
    <x v="5"/>
    <n v="3804021"/>
    <x v="20"/>
    <x v="5"/>
    <n v="22385.95"/>
    <n v="8011.72"/>
    <n v="625.89"/>
    <n v="8637.61"/>
    <n v="0.38584960656125833"/>
    <n v="330.3"/>
    <n v="0.54"/>
    <m/>
    <n v="330.84000000000003"/>
    <m/>
    <n v="0"/>
  </r>
  <r>
    <x v="5"/>
    <n v="3804022"/>
    <x v="21"/>
    <x v="5"/>
    <n v="14163.16"/>
    <n v="4010.57"/>
    <n v="265.24"/>
    <n v="4275.8100000000004"/>
    <n v="0.30189661064338752"/>
    <n v="187.59"/>
    <n v="5.04"/>
    <m/>
    <n v="192.63"/>
    <m/>
    <n v="0"/>
  </r>
  <r>
    <x v="5"/>
    <n v="3804023"/>
    <x v="22"/>
    <x v="5"/>
    <n v="15487.58"/>
    <n v="5056.1000000000004"/>
    <n v="432.25"/>
    <n v="5488.35"/>
    <n v="0.3543710508678567"/>
    <n v="223.68"/>
    <n v="7.12"/>
    <m/>
    <n v="230.8"/>
    <m/>
    <n v="0"/>
  </r>
  <r>
    <x v="5"/>
    <n v="3804024"/>
    <x v="23"/>
    <x v="4"/>
    <n v="12606.46"/>
    <n v="3803.03"/>
    <n v="281.63"/>
    <n v="4084.6600000000003"/>
    <n v="0.32401324400347126"/>
    <n v="173.22"/>
    <n v="3.19"/>
    <m/>
    <n v="176.41"/>
    <m/>
    <n v="0"/>
  </r>
  <r>
    <x v="5"/>
    <n v="3804025"/>
    <x v="24"/>
    <x v="4"/>
    <n v="23444.68"/>
    <n v="8813.85"/>
    <n v="676.84"/>
    <n v="9490.69"/>
    <n v="0.40481209383109518"/>
    <n v="331.85"/>
    <n v="11.23"/>
    <m/>
    <n v="343.08000000000004"/>
    <m/>
    <n v="0"/>
  </r>
  <r>
    <x v="5"/>
    <n v="3804026"/>
    <x v="25"/>
    <x v="1"/>
    <n v="12938.79"/>
    <n v="3429.47"/>
    <n v="288.36"/>
    <n v="3717.83"/>
    <n v="0.28733985171720072"/>
    <n v="237.31"/>
    <n v="0"/>
    <m/>
    <n v="237.31"/>
    <m/>
    <n v="0"/>
  </r>
  <r>
    <x v="5"/>
    <n v="3804027"/>
    <x v="26"/>
    <x v="1"/>
    <n v="13142.74"/>
    <n v="4554.21"/>
    <n v="648.19000000000005"/>
    <n v="5202.3999999999996"/>
    <n v="0.39583831073276954"/>
    <n v="224.62"/>
    <n v="55.2"/>
    <m/>
    <n v="279.82"/>
    <m/>
    <n v="0"/>
  </r>
  <r>
    <x v="5"/>
    <n v="3804028"/>
    <x v="27"/>
    <x v="1"/>
    <n v="0"/>
    <n v="0"/>
    <n v="0"/>
    <n v="0"/>
    <n v="0"/>
    <n v="0"/>
    <n v="0"/>
    <m/>
    <n v="0"/>
    <m/>
    <n v="0"/>
  </r>
  <r>
    <x v="5"/>
    <n v="3804029"/>
    <x v="28"/>
    <x v="1"/>
    <n v="9722.57"/>
    <n v="3895.51"/>
    <n v="380.18"/>
    <n v="4275.6900000000005"/>
    <n v="0.43976952595867147"/>
    <n v="80"/>
    <n v="0"/>
    <m/>
    <n v="80"/>
    <m/>
    <n v="0"/>
  </r>
  <r>
    <x v="5"/>
    <n v="3804030"/>
    <x v="29"/>
    <x v="0"/>
    <n v="8528.73"/>
    <n v="2597.61"/>
    <n v="0"/>
    <n v="2597.61"/>
    <n v="0.30457172404332183"/>
    <n v="133.75"/>
    <n v="22.13"/>
    <m/>
    <n v="155.88"/>
    <m/>
    <n v="0"/>
  </r>
  <r>
    <x v="5"/>
    <n v="3804031"/>
    <x v="30"/>
    <x v="0"/>
    <n v="8885.84"/>
    <n v="2089.7600000000002"/>
    <n v="0"/>
    <n v="2089.7600000000002"/>
    <n v="0.23517866628253492"/>
    <n v="42.32"/>
    <n v="0"/>
    <m/>
    <n v="42.32"/>
    <m/>
    <n v="0"/>
  </r>
  <r>
    <x v="5"/>
    <n v="3804032"/>
    <x v="31"/>
    <x v="1"/>
    <n v="5554.39"/>
    <n v="1164.04"/>
    <n v="0"/>
    <n v="1164.04"/>
    <n v="0.20957116803105288"/>
    <n v="0"/>
    <n v="0"/>
    <m/>
    <n v="0"/>
    <m/>
    <n v="0"/>
  </r>
  <r>
    <x v="5"/>
    <n v="3804033"/>
    <x v="32"/>
    <x v="0"/>
    <n v="6440.59"/>
    <n v="1436.49"/>
    <n v="239.67"/>
    <n v="1676.16"/>
    <n v="0.26024944919642456"/>
    <n v="25.75"/>
    <n v="0"/>
    <m/>
    <n v="25.75"/>
    <m/>
    <n v="0"/>
  </r>
  <r>
    <x v="6"/>
    <n v="3804001"/>
    <x v="0"/>
    <x v="0"/>
    <m/>
    <m/>
    <m/>
    <n v="0"/>
    <e v="#DIV/0!"/>
    <m/>
    <m/>
    <m/>
    <n v="0"/>
    <m/>
    <e v="#DIV/0!"/>
  </r>
  <r>
    <x v="6"/>
    <n v="3804002"/>
    <x v="1"/>
    <x v="1"/>
    <m/>
    <m/>
    <m/>
    <n v="0"/>
    <e v="#DIV/0!"/>
    <m/>
    <m/>
    <m/>
    <n v="0"/>
    <m/>
    <e v="#DIV/0!"/>
  </r>
  <r>
    <x v="6"/>
    <n v="3804003"/>
    <x v="2"/>
    <x v="1"/>
    <m/>
    <m/>
    <m/>
    <n v="0"/>
    <e v="#DIV/0!"/>
    <m/>
    <m/>
    <m/>
    <n v="0"/>
    <m/>
    <e v="#DIV/0!"/>
  </r>
  <r>
    <x v="6"/>
    <n v="3804004"/>
    <x v="3"/>
    <x v="1"/>
    <m/>
    <m/>
    <m/>
    <n v="0"/>
    <e v="#DIV/0!"/>
    <m/>
    <m/>
    <m/>
    <n v="0"/>
    <m/>
    <e v="#DIV/0!"/>
  </r>
  <r>
    <x v="6"/>
    <n v="3804005"/>
    <x v="4"/>
    <x v="1"/>
    <m/>
    <m/>
    <m/>
    <n v="0"/>
    <e v="#DIV/0!"/>
    <m/>
    <m/>
    <m/>
    <n v="0"/>
    <m/>
    <e v="#DIV/0!"/>
  </r>
  <r>
    <x v="6"/>
    <n v="3804006"/>
    <x v="5"/>
    <x v="1"/>
    <m/>
    <m/>
    <m/>
    <n v="0"/>
    <e v="#DIV/0!"/>
    <m/>
    <m/>
    <m/>
    <n v="0"/>
    <m/>
    <e v="#DIV/0!"/>
  </r>
  <r>
    <x v="6"/>
    <n v="3804007"/>
    <x v="6"/>
    <x v="2"/>
    <m/>
    <m/>
    <m/>
    <n v="0"/>
    <e v="#DIV/0!"/>
    <m/>
    <m/>
    <m/>
    <n v="0"/>
    <m/>
    <e v="#DIV/0!"/>
  </r>
  <r>
    <x v="6"/>
    <n v="3804008"/>
    <x v="7"/>
    <x v="2"/>
    <m/>
    <m/>
    <m/>
    <n v="0"/>
    <e v="#DIV/0!"/>
    <m/>
    <m/>
    <m/>
    <n v="0"/>
    <m/>
    <e v="#DIV/0!"/>
  </r>
  <r>
    <x v="6"/>
    <n v="3804009"/>
    <x v="8"/>
    <x v="2"/>
    <m/>
    <m/>
    <m/>
    <n v="0"/>
    <e v="#DIV/0!"/>
    <m/>
    <m/>
    <m/>
    <n v="0"/>
    <m/>
    <e v="#DIV/0!"/>
  </r>
  <r>
    <x v="6"/>
    <n v="3804010"/>
    <x v="9"/>
    <x v="3"/>
    <m/>
    <m/>
    <m/>
    <n v="0"/>
    <e v="#DIV/0!"/>
    <m/>
    <m/>
    <m/>
    <n v="0"/>
    <m/>
    <e v="#DIV/0!"/>
  </r>
  <r>
    <x v="6"/>
    <n v="3804011"/>
    <x v="10"/>
    <x v="3"/>
    <m/>
    <m/>
    <m/>
    <n v="0"/>
    <e v="#DIV/0!"/>
    <m/>
    <m/>
    <m/>
    <n v="0"/>
    <m/>
    <e v="#DIV/0!"/>
  </r>
  <r>
    <x v="6"/>
    <n v="3804012"/>
    <x v="11"/>
    <x v="3"/>
    <m/>
    <m/>
    <m/>
    <n v="0"/>
    <e v="#DIV/0!"/>
    <m/>
    <m/>
    <m/>
    <n v="0"/>
    <m/>
    <e v="#DIV/0!"/>
  </r>
  <r>
    <x v="6"/>
    <n v="3804013"/>
    <x v="12"/>
    <x v="3"/>
    <m/>
    <m/>
    <m/>
    <n v="0"/>
    <e v="#DIV/0!"/>
    <m/>
    <m/>
    <m/>
    <n v="0"/>
    <m/>
    <e v="#DIV/0!"/>
  </r>
  <r>
    <x v="6"/>
    <n v="3804014"/>
    <x v="13"/>
    <x v="3"/>
    <m/>
    <m/>
    <m/>
    <n v="0"/>
    <e v="#DIV/0!"/>
    <m/>
    <m/>
    <m/>
    <n v="0"/>
    <m/>
    <e v="#DIV/0!"/>
  </r>
  <r>
    <x v="6"/>
    <n v="3804015"/>
    <x v="14"/>
    <x v="4"/>
    <m/>
    <m/>
    <m/>
    <n v="0"/>
    <e v="#DIV/0!"/>
    <m/>
    <m/>
    <m/>
    <n v="0"/>
    <m/>
    <e v="#DIV/0!"/>
  </r>
  <r>
    <x v="6"/>
    <n v="3804016"/>
    <x v="15"/>
    <x v="5"/>
    <m/>
    <m/>
    <m/>
    <n v="0"/>
    <e v="#DIV/0!"/>
    <m/>
    <m/>
    <m/>
    <n v="0"/>
    <m/>
    <e v="#DIV/0!"/>
  </r>
  <r>
    <x v="6"/>
    <n v="3804017"/>
    <x v="16"/>
    <x v="5"/>
    <m/>
    <m/>
    <m/>
    <n v="0"/>
    <e v="#DIV/0!"/>
    <m/>
    <m/>
    <m/>
    <n v="0"/>
    <m/>
    <e v="#DIV/0!"/>
  </r>
  <r>
    <x v="6"/>
    <n v="3804018"/>
    <x v="17"/>
    <x v="4"/>
    <m/>
    <m/>
    <m/>
    <n v="0"/>
    <e v="#DIV/0!"/>
    <m/>
    <m/>
    <m/>
    <n v="0"/>
    <m/>
    <e v="#DIV/0!"/>
  </r>
  <r>
    <x v="6"/>
    <n v="3804019"/>
    <x v="18"/>
    <x v="4"/>
    <m/>
    <m/>
    <m/>
    <n v="0"/>
    <e v="#DIV/0!"/>
    <m/>
    <m/>
    <m/>
    <n v="0"/>
    <m/>
    <e v="#DIV/0!"/>
  </r>
  <r>
    <x v="6"/>
    <n v="3804020"/>
    <x v="19"/>
    <x v="5"/>
    <m/>
    <m/>
    <m/>
    <n v="0"/>
    <e v="#DIV/0!"/>
    <m/>
    <m/>
    <m/>
    <n v="0"/>
    <m/>
    <e v="#DIV/0!"/>
  </r>
  <r>
    <x v="6"/>
    <n v="3804021"/>
    <x v="20"/>
    <x v="5"/>
    <m/>
    <m/>
    <m/>
    <n v="0"/>
    <e v="#DIV/0!"/>
    <m/>
    <m/>
    <m/>
    <n v="0"/>
    <m/>
    <e v="#DIV/0!"/>
  </r>
  <r>
    <x v="6"/>
    <n v="3804022"/>
    <x v="21"/>
    <x v="5"/>
    <m/>
    <m/>
    <m/>
    <n v="0"/>
    <e v="#DIV/0!"/>
    <m/>
    <m/>
    <m/>
    <n v="0"/>
    <m/>
    <e v="#DIV/0!"/>
  </r>
  <r>
    <x v="6"/>
    <n v="3804023"/>
    <x v="22"/>
    <x v="5"/>
    <m/>
    <m/>
    <m/>
    <n v="0"/>
    <e v="#DIV/0!"/>
    <m/>
    <m/>
    <m/>
    <n v="0"/>
    <m/>
    <e v="#DIV/0!"/>
  </r>
  <r>
    <x v="6"/>
    <n v="3804024"/>
    <x v="23"/>
    <x v="4"/>
    <m/>
    <m/>
    <m/>
    <n v="0"/>
    <e v="#DIV/0!"/>
    <m/>
    <m/>
    <m/>
    <n v="0"/>
    <m/>
    <e v="#DIV/0!"/>
  </r>
  <r>
    <x v="6"/>
    <n v="3804025"/>
    <x v="24"/>
    <x v="4"/>
    <m/>
    <m/>
    <m/>
    <n v="0"/>
    <e v="#DIV/0!"/>
    <m/>
    <m/>
    <m/>
    <n v="0"/>
    <m/>
    <e v="#DIV/0!"/>
  </r>
  <r>
    <x v="6"/>
    <n v="3804026"/>
    <x v="25"/>
    <x v="1"/>
    <m/>
    <m/>
    <m/>
    <n v="0"/>
    <e v="#DIV/0!"/>
    <m/>
    <m/>
    <m/>
    <n v="0"/>
    <m/>
    <e v="#DIV/0!"/>
  </r>
  <r>
    <x v="6"/>
    <n v="3804027"/>
    <x v="26"/>
    <x v="1"/>
    <m/>
    <m/>
    <m/>
    <n v="0"/>
    <e v="#DIV/0!"/>
    <m/>
    <m/>
    <m/>
    <n v="0"/>
    <m/>
    <e v="#DIV/0!"/>
  </r>
  <r>
    <x v="6"/>
    <n v="3804028"/>
    <x v="27"/>
    <x v="1"/>
    <m/>
    <m/>
    <m/>
    <n v="0"/>
    <e v="#DIV/0!"/>
    <m/>
    <m/>
    <m/>
    <n v="0"/>
    <m/>
    <e v="#DIV/0!"/>
  </r>
  <r>
    <x v="6"/>
    <n v="3804029"/>
    <x v="28"/>
    <x v="1"/>
    <m/>
    <m/>
    <m/>
    <n v="0"/>
    <e v="#DIV/0!"/>
    <m/>
    <m/>
    <m/>
    <n v="0"/>
    <m/>
    <e v="#DIV/0!"/>
  </r>
  <r>
    <x v="6"/>
    <n v="3804030"/>
    <x v="29"/>
    <x v="0"/>
    <m/>
    <m/>
    <m/>
    <n v="0"/>
    <e v="#DIV/0!"/>
    <m/>
    <m/>
    <m/>
    <n v="0"/>
    <m/>
    <e v="#DIV/0!"/>
  </r>
  <r>
    <x v="6"/>
    <n v="3804031"/>
    <x v="30"/>
    <x v="0"/>
    <m/>
    <m/>
    <m/>
    <n v="0"/>
    <e v="#DIV/0!"/>
    <m/>
    <m/>
    <m/>
    <n v="0"/>
    <m/>
    <e v="#DIV/0!"/>
  </r>
  <r>
    <x v="6"/>
    <n v="3804032"/>
    <x v="31"/>
    <x v="1"/>
    <m/>
    <m/>
    <m/>
    <n v="0"/>
    <e v="#DIV/0!"/>
    <m/>
    <m/>
    <m/>
    <n v="0"/>
    <m/>
    <e v="#DIV/0!"/>
  </r>
  <r>
    <x v="6"/>
    <n v="3804033"/>
    <x v="32"/>
    <x v="0"/>
    <m/>
    <m/>
    <m/>
    <n v="0"/>
    <e v="#DIV/0!"/>
    <m/>
    <m/>
    <m/>
    <n v="0"/>
    <m/>
    <e v="#DIV/0!"/>
  </r>
  <r>
    <x v="7"/>
    <n v="3804001"/>
    <x v="0"/>
    <x v="0"/>
    <m/>
    <m/>
    <m/>
    <n v="0"/>
    <e v="#DIV/0!"/>
    <m/>
    <m/>
    <m/>
    <n v="0"/>
    <m/>
    <e v="#DIV/0!"/>
  </r>
  <r>
    <x v="7"/>
    <n v="3804002"/>
    <x v="1"/>
    <x v="1"/>
    <m/>
    <m/>
    <m/>
    <n v="0"/>
    <e v="#DIV/0!"/>
    <m/>
    <m/>
    <m/>
    <n v="0"/>
    <m/>
    <e v="#DIV/0!"/>
  </r>
  <r>
    <x v="7"/>
    <n v="3804003"/>
    <x v="2"/>
    <x v="1"/>
    <m/>
    <m/>
    <m/>
    <n v="0"/>
    <e v="#DIV/0!"/>
    <m/>
    <m/>
    <m/>
    <n v="0"/>
    <m/>
    <e v="#DIV/0!"/>
  </r>
  <r>
    <x v="7"/>
    <n v="3804004"/>
    <x v="3"/>
    <x v="1"/>
    <m/>
    <m/>
    <m/>
    <n v="0"/>
    <e v="#DIV/0!"/>
    <m/>
    <m/>
    <m/>
    <n v="0"/>
    <m/>
    <e v="#DIV/0!"/>
  </r>
  <r>
    <x v="7"/>
    <n v="3804005"/>
    <x v="4"/>
    <x v="1"/>
    <m/>
    <m/>
    <m/>
    <n v="0"/>
    <e v="#DIV/0!"/>
    <m/>
    <m/>
    <m/>
    <n v="0"/>
    <m/>
    <e v="#DIV/0!"/>
  </r>
  <r>
    <x v="7"/>
    <n v="3804006"/>
    <x v="5"/>
    <x v="1"/>
    <m/>
    <m/>
    <m/>
    <n v="0"/>
    <e v="#DIV/0!"/>
    <m/>
    <m/>
    <m/>
    <n v="0"/>
    <m/>
    <e v="#DIV/0!"/>
  </r>
  <r>
    <x v="7"/>
    <n v="3804007"/>
    <x v="6"/>
    <x v="6"/>
    <m/>
    <m/>
    <m/>
    <n v="0"/>
    <e v="#DIV/0!"/>
    <m/>
    <m/>
    <m/>
    <n v="0"/>
    <m/>
    <e v="#DIV/0!"/>
  </r>
  <r>
    <x v="7"/>
    <n v="3804008"/>
    <x v="7"/>
    <x v="6"/>
    <m/>
    <m/>
    <m/>
    <n v="0"/>
    <e v="#DIV/0!"/>
    <m/>
    <m/>
    <m/>
    <n v="0"/>
    <m/>
    <e v="#DIV/0!"/>
  </r>
  <r>
    <x v="7"/>
    <n v="3804009"/>
    <x v="8"/>
    <x v="6"/>
    <m/>
    <m/>
    <m/>
    <n v="0"/>
    <e v="#DIV/0!"/>
    <m/>
    <m/>
    <m/>
    <n v="0"/>
    <m/>
    <e v="#DIV/0!"/>
  </r>
  <r>
    <x v="7"/>
    <n v="3804010"/>
    <x v="9"/>
    <x v="3"/>
    <m/>
    <m/>
    <m/>
    <n v="0"/>
    <e v="#DIV/0!"/>
    <m/>
    <m/>
    <m/>
    <n v="0"/>
    <m/>
    <e v="#DIV/0!"/>
  </r>
  <r>
    <x v="7"/>
    <n v="3804011"/>
    <x v="10"/>
    <x v="3"/>
    <m/>
    <m/>
    <m/>
    <n v="0"/>
    <e v="#DIV/0!"/>
    <m/>
    <m/>
    <m/>
    <n v="0"/>
    <m/>
    <e v="#DIV/0!"/>
  </r>
  <r>
    <x v="7"/>
    <n v="3804012"/>
    <x v="11"/>
    <x v="3"/>
    <m/>
    <m/>
    <m/>
    <n v="0"/>
    <e v="#DIV/0!"/>
    <m/>
    <m/>
    <m/>
    <n v="0"/>
    <m/>
    <e v="#DIV/0!"/>
  </r>
  <r>
    <x v="7"/>
    <n v="3804013"/>
    <x v="12"/>
    <x v="3"/>
    <m/>
    <m/>
    <m/>
    <n v="0"/>
    <e v="#DIV/0!"/>
    <m/>
    <m/>
    <m/>
    <n v="0"/>
    <m/>
    <e v="#DIV/0!"/>
  </r>
  <r>
    <x v="7"/>
    <n v="3804014"/>
    <x v="13"/>
    <x v="3"/>
    <m/>
    <m/>
    <m/>
    <n v="0"/>
    <e v="#DIV/0!"/>
    <m/>
    <m/>
    <m/>
    <n v="0"/>
    <m/>
    <e v="#DIV/0!"/>
  </r>
  <r>
    <x v="7"/>
    <n v="3804015"/>
    <x v="14"/>
    <x v="4"/>
    <m/>
    <m/>
    <m/>
    <n v="0"/>
    <e v="#DIV/0!"/>
    <m/>
    <m/>
    <m/>
    <n v="0"/>
    <m/>
    <e v="#DIV/0!"/>
  </r>
  <r>
    <x v="7"/>
    <n v="3804016"/>
    <x v="15"/>
    <x v="5"/>
    <m/>
    <m/>
    <m/>
    <n v="0"/>
    <e v="#DIV/0!"/>
    <m/>
    <m/>
    <m/>
    <n v="0"/>
    <m/>
    <e v="#DIV/0!"/>
  </r>
  <r>
    <x v="7"/>
    <n v="3804017"/>
    <x v="16"/>
    <x v="5"/>
    <m/>
    <m/>
    <m/>
    <n v="0"/>
    <e v="#DIV/0!"/>
    <m/>
    <m/>
    <m/>
    <n v="0"/>
    <m/>
    <e v="#DIV/0!"/>
  </r>
  <r>
    <x v="7"/>
    <n v="3804018"/>
    <x v="17"/>
    <x v="4"/>
    <m/>
    <m/>
    <m/>
    <n v="0"/>
    <e v="#DIV/0!"/>
    <m/>
    <m/>
    <m/>
    <n v="0"/>
    <m/>
    <e v="#DIV/0!"/>
  </r>
  <r>
    <x v="7"/>
    <n v="3804019"/>
    <x v="18"/>
    <x v="4"/>
    <m/>
    <m/>
    <m/>
    <n v="0"/>
    <e v="#DIV/0!"/>
    <m/>
    <m/>
    <m/>
    <n v="0"/>
    <m/>
    <e v="#DIV/0!"/>
  </r>
  <r>
    <x v="7"/>
    <n v="3804020"/>
    <x v="19"/>
    <x v="5"/>
    <m/>
    <m/>
    <m/>
    <n v="0"/>
    <e v="#DIV/0!"/>
    <m/>
    <m/>
    <m/>
    <n v="0"/>
    <m/>
    <e v="#DIV/0!"/>
  </r>
  <r>
    <x v="7"/>
    <n v="3804021"/>
    <x v="20"/>
    <x v="5"/>
    <m/>
    <m/>
    <m/>
    <n v="0"/>
    <e v="#DIV/0!"/>
    <m/>
    <m/>
    <m/>
    <n v="0"/>
    <m/>
    <e v="#DIV/0!"/>
  </r>
  <r>
    <x v="7"/>
    <n v="3804022"/>
    <x v="21"/>
    <x v="5"/>
    <m/>
    <m/>
    <m/>
    <n v="0"/>
    <e v="#DIV/0!"/>
    <m/>
    <m/>
    <m/>
    <n v="0"/>
    <m/>
    <e v="#DIV/0!"/>
  </r>
  <r>
    <x v="7"/>
    <n v="3804023"/>
    <x v="22"/>
    <x v="5"/>
    <m/>
    <m/>
    <m/>
    <n v="0"/>
    <e v="#DIV/0!"/>
    <m/>
    <m/>
    <m/>
    <n v="0"/>
    <m/>
    <e v="#DIV/0!"/>
  </r>
  <r>
    <x v="7"/>
    <n v="3804024"/>
    <x v="23"/>
    <x v="4"/>
    <m/>
    <m/>
    <m/>
    <n v="0"/>
    <e v="#DIV/0!"/>
    <m/>
    <m/>
    <m/>
    <n v="0"/>
    <m/>
    <e v="#DIV/0!"/>
  </r>
  <r>
    <x v="7"/>
    <n v="3804025"/>
    <x v="24"/>
    <x v="4"/>
    <m/>
    <m/>
    <m/>
    <n v="0"/>
    <e v="#DIV/0!"/>
    <m/>
    <m/>
    <m/>
    <n v="0"/>
    <m/>
    <e v="#DIV/0!"/>
  </r>
  <r>
    <x v="7"/>
    <n v="3804026"/>
    <x v="25"/>
    <x v="1"/>
    <m/>
    <m/>
    <m/>
    <n v="0"/>
    <e v="#DIV/0!"/>
    <m/>
    <m/>
    <m/>
    <n v="0"/>
    <m/>
    <e v="#DIV/0!"/>
  </r>
  <r>
    <x v="7"/>
    <n v="3804027"/>
    <x v="26"/>
    <x v="1"/>
    <m/>
    <m/>
    <m/>
    <n v="0"/>
    <e v="#DIV/0!"/>
    <m/>
    <m/>
    <m/>
    <n v="0"/>
    <m/>
    <e v="#DIV/0!"/>
  </r>
  <r>
    <x v="7"/>
    <n v="3804028"/>
    <x v="27"/>
    <x v="1"/>
    <m/>
    <m/>
    <m/>
    <n v="0"/>
    <e v="#DIV/0!"/>
    <m/>
    <m/>
    <m/>
    <n v="0"/>
    <m/>
    <e v="#DIV/0!"/>
  </r>
  <r>
    <x v="7"/>
    <n v="3804029"/>
    <x v="28"/>
    <x v="1"/>
    <m/>
    <m/>
    <m/>
    <n v="0"/>
    <e v="#DIV/0!"/>
    <m/>
    <m/>
    <m/>
    <n v="0"/>
    <m/>
    <e v="#DIV/0!"/>
  </r>
  <r>
    <x v="7"/>
    <n v="3804030"/>
    <x v="29"/>
    <x v="0"/>
    <m/>
    <m/>
    <m/>
    <n v="0"/>
    <e v="#DIV/0!"/>
    <m/>
    <m/>
    <m/>
    <n v="0"/>
    <m/>
    <e v="#DIV/0!"/>
  </r>
  <r>
    <x v="7"/>
    <n v="3804031"/>
    <x v="30"/>
    <x v="0"/>
    <m/>
    <m/>
    <m/>
    <n v="0"/>
    <e v="#DIV/0!"/>
    <m/>
    <m/>
    <m/>
    <n v="0"/>
    <m/>
    <e v="#DIV/0!"/>
  </r>
  <r>
    <x v="7"/>
    <n v="3804032"/>
    <x v="31"/>
    <x v="1"/>
    <m/>
    <m/>
    <m/>
    <n v="0"/>
    <e v="#DIV/0!"/>
    <m/>
    <m/>
    <m/>
    <n v="0"/>
    <m/>
    <e v="#DIV/0!"/>
  </r>
  <r>
    <x v="7"/>
    <n v="3804033"/>
    <x v="32"/>
    <x v="0"/>
    <m/>
    <m/>
    <m/>
    <n v="0"/>
    <e v="#DIV/0!"/>
    <m/>
    <m/>
    <m/>
    <n v="0"/>
    <m/>
    <e v="#DIV/0!"/>
  </r>
  <r>
    <x v="8"/>
    <n v="3804001"/>
    <x v="0"/>
    <x v="0"/>
    <m/>
    <m/>
    <m/>
    <n v="0"/>
    <e v="#DIV/0!"/>
    <m/>
    <m/>
    <m/>
    <n v="0"/>
    <m/>
    <e v="#DIV/0!"/>
  </r>
  <r>
    <x v="8"/>
    <n v="3804002"/>
    <x v="1"/>
    <x v="1"/>
    <m/>
    <m/>
    <m/>
    <n v="0"/>
    <e v="#DIV/0!"/>
    <m/>
    <m/>
    <m/>
    <n v="0"/>
    <m/>
    <e v="#DIV/0!"/>
  </r>
  <r>
    <x v="8"/>
    <n v="3804003"/>
    <x v="2"/>
    <x v="1"/>
    <m/>
    <m/>
    <m/>
    <n v="0"/>
    <e v="#DIV/0!"/>
    <m/>
    <m/>
    <m/>
    <n v="0"/>
    <m/>
    <e v="#DIV/0!"/>
  </r>
  <r>
    <x v="8"/>
    <n v="3804004"/>
    <x v="3"/>
    <x v="1"/>
    <m/>
    <m/>
    <m/>
    <n v="0"/>
    <e v="#DIV/0!"/>
    <m/>
    <m/>
    <m/>
    <n v="0"/>
    <m/>
    <e v="#DIV/0!"/>
  </r>
  <r>
    <x v="8"/>
    <n v="3804005"/>
    <x v="4"/>
    <x v="1"/>
    <m/>
    <m/>
    <m/>
    <n v="0"/>
    <e v="#DIV/0!"/>
    <m/>
    <m/>
    <m/>
    <n v="0"/>
    <m/>
    <e v="#DIV/0!"/>
  </r>
  <r>
    <x v="8"/>
    <n v="3804006"/>
    <x v="5"/>
    <x v="1"/>
    <m/>
    <m/>
    <m/>
    <n v="0"/>
    <e v="#DIV/0!"/>
    <m/>
    <m/>
    <m/>
    <n v="0"/>
    <m/>
    <e v="#DIV/0!"/>
  </r>
  <r>
    <x v="8"/>
    <n v="3804007"/>
    <x v="6"/>
    <x v="2"/>
    <m/>
    <m/>
    <m/>
    <n v="0"/>
    <e v="#DIV/0!"/>
    <m/>
    <m/>
    <m/>
    <n v="0"/>
    <m/>
    <e v="#DIV/0!"/>
  </r>
  <r>
    <x v="8"/>
    <n v="3804008"/>
    <x v="7"/>
    <x v="2"/>
    <m/>
    <m/>
    <m/>
    <n v="0"/>
    <e v="#DIV/0!"/>
    <m/>
    <m/>
    <m/>
    <n v="0"/>
    <m/>
    <e v="#DIV/0!"/>
  </r>
  <r>
    <x v="8"/>
    <n v="3804009"/>
    <x v="8"/>
    <x v="2"/>
    <m/>
    <m/>
    <m/>
    <n v="0"/>
    <e v="#DIV/0!"/>
    <m/>
    <m/>
    <m/>
    <n v="0"/>
    <m/>
    <e v="#DIV/0!"/>
  </r>
  <r>
    <x v="8"/>
    <n v="3804010"/>
    <x v="9"/>
    <x v="3"/>
    <m/>
    <m/>
    <m/>
    <n v="0"/>
    <e v="#DIV/0!"/>
    <m/>
    <m/>
    <m/>
    <n v="0"/>
    <m/>
    <e v="#DIV/0!"/>
  </r>
  <r>
    <x v="8"/>
    <n v="3804011"/>
    <x v="10"/>
    <x v="3"/>
    <m/>
    <m/>
    <m/>
    <n v="0"/>
    <e v="#DIV/0!"/>
    <m/>
    <m/>
    <m/>
    <n v="0"/>
    <m/>
    <e v="#DIV/0!"/>
  </r>
  <r>
    <x v="8"/>
    <n v="3804012"/>
    <x v="11"/>
    <x v="3"/>
    <m/>
    <m/>
    <m/>
    <n v="0"/>
    <e v="#DIV/0!"/>
    <m/>
    <m/>
    <m/>
    <n v="0"/>
    <m/>
    <e v="#DIV/0!"/>
  </r>
  <r>
    <x v="8"/>
    <n v="3804013"/>
    <x v="12"/>
    <x v="3"/>
    <m/>
    <m/>
    <m/>
    <n v="0"/>
    <e v="#DIV/0!"/>
    <m/>
    <m/>
    <m/>
    <n v="0"/>
    <m/>
    <e v="#DIV/0!"/>
  </r>
  <r>
    <x v="8"/>
    <n v="3804014"/>
    <x v="13"/>
    <x v="3"/>
    <m/>
    <m/>
    <m/>
    <n v="0"/>
    <e v="#DIV/0!"/>
    <m/>
    <m/>
    <m/>
    <n v="0"/>
    <m/>
    <e v="#DIV/0!"/>
  </r>
  <r>
    <x v="8"/>
    <n v="3804015"/>
    <x v="14"/>
    <x v="4"/>
    <m/>
    <m/>
    <m/>
    <n v="0"/>
    <e v="#DIV/0!"/>
    <m/>
    <m/>
    <m/>
    <n v="0"/>
    <m/>
    <e v="#DIV/0!"/>
  </r>
  <r>
    <x v="8"/>
    <n v="3804016"/>
    <x v="15"/>
    <x v="5"/>
    <m/>
    <m/>
    <m/>
    <n v="0"/>
    <e v="#DIV/0!"/>
    <m/>
    <m/>
    <m/>
    <n v="0"/>
    <m/>
    <e v="#DIV/0!"/>
  </r>
  <r>
    <x v="8"/>
    <n v="3804017"/>
    <x v="16"/>
    <x v="5"/>
    <m/>
    <m/>
    <m/>
    <n v="0"/>
    <e v="#DIV/0!"/>
    <m/>
    <m/>
    <m/>
    <n v="0"/>
    <m/>
    <e v="#DIV/0!"/>
  </r>
  <r>
    <x v="8"/>
    <n v="3804018"/>
    <x v="17"/>
    <x v="4"/>
    <m/>
    <m/>
    <m/>
    <n v="0"/>
    <e v="#DIV/0!"/>
    <m/>
    <m/>
    <m/>
    <n v="0"/>
    <m/>
    <e v="#DIV/0!"/>
  </r>
  <r>
    <x v="8"/>
    <n v="3804019"/>
    <x v="18"/>
    <x v="4"/>
    <m/>
    <m/>
    <m/>
    <n v="0"/>
    <e v="#DIV/0!"/>
    <m/>
    <m/>
    <m/>
    <n v="0"/>
    <m/>
    <e v="#DIV/0!"/>
  </r>
  <r>
    <x v="8"/>
    <n v="3804020"/>
    <x v="19"/>
    <x v="5"/>
    <m/>
    <m/>
    <m/>
    <n v="0"/>
    <e v="#DIV/0!"/>
    <m/>
    <m/>
    <m/>
    <n v="0"/>
    <m/>
    <e v="#DIV/0!"/>
  </r>
  <r>
    <x v="8"/>
    <n v="3804021"/>
    <x v="20"/>
    <x v="5"/>
    <m/>
    <m/>
    <m/>
    <n v="0"/>
    <e v="#DIV/0!"/>
    <m/>
    <m/>
    <m/>
    <n v="0"/>
    <m/>
    <e v="#DIV/0!"/>
  </r>
  <r>
    <x v="8"/>
    <n v="3804022"/>
    <x v="21"/>
    <x v="5"/>
    <m/>
    <m/>
    <m/>
    <n v="0"/>
    <e v="#DIV/0!"/>
    <m/>
    <m/>
    <m/>
    <n v="0"/>
    <m/>
    <e v="#DIV/0!"/>
  </r>
  <r>
    <x v="8"/>
    <n v="3804023"/>
    <x v="22"/>
    <x v="5"/>
    <m/>
    <m/>
    <m/>
    <n v="0"/>
    <e v="#DIV/0!"/>
    <m/>
    <m/>
    <m/>
    <n v="0"/>
    <m/>
    <e v="#DIV/0!"/>
  </r>
  <r>
    <x v="8"/>
    <n v="3804024"/>
    <x v="23"/>
    <x v="4"/>
    <m/>
    <m/>
    <m/>
    <n v="0"/>
    <e v="#DIV/0!"/>
    <m/>
    <m/>
    <m/>
    <n v="0"/>
    <m/>
    <e v="#DIV/0!"/>
  </r>
  <r>
    <x v="8"/>
    <n v="3804025"/>
    <x v="24"/>
    <x v="4"/>
    <m/>
    <m/>
    <m/>
    <n v="0"/>
    <e v="#DIV/0!"/>
    <m/>
    <m/>
    <m/>
    <n v="0"/>
    <m/>
    <e v="#DIV/0!"/>
  </r>
  <r>
    <x v="8"/>
    <n v="3804026"/>
    <x v="25"/>
    <x v="7"/>
    <m/>
    <m/>
    <m/>
    <n v="0"/>
    <e v="#DIV/0!"/>
    <m/>
    <m/>
    <m/>
    <n v="0"/>
    <m/>
    <e v="#DIV/0!"/>
  </r>
  <r>
    <x v="8"/>
    <n v="3804027"/>
    <x v="26"/>
    <x v="1"/>
    <m/>
    <m/>
    <m/>
    <n v="0"/>
    <e v="#DIV/0!"/>
    <m/>
    <m/>
    <m/>
    <n v="0"/>
    <m/>
    <e v="#DIV/0!"/>
  </r>
  <r>
    <x v="8"/>
    <n v="3804028"/>
    <x v="27"/>
    <x v="1"/>
    <m/>
    <m/>
    <m/>
    <n v="0"/>
    <e v="#DIV/0!"/>
    <m/>
    <m/>
    <m/>
    <n v="0"/>
    <m/>
    <e v="#DIV/0!"/>
  </r>
  <r>
    <x v="8"/>
    <n v="3804029"/>
    <x v="28"/>
    <x v="1"/>
    <m/>
    <m/>
    <m/>
    <n v="0"/>
    <e v="#DIV/0!"/>
    <m/>
    <m/>
    <m/>
    <n v="0"/>
    <m/>
    <e v="#DIV/0!"/>
  </r>
  <r>
    <x v="8"/>
    <n v="3804030"/>
    <x v="29"/>
    <x v="0"/>
    <m/>
    <m/>
    <m/>
    <n v="0"/>
    <e v="#DIV/0!"/>
    <m/>
    <m/>
    <m/>
    <n v="0"/>
    <m/>
    <e v="#DIV/0!"/>
  </r>
  <r>
    <x v="8"/>
    <n v="3804031"/>
    <x v="30"/>
    <x v="0"/>
    <m/>
    <m/>
    <m/>
    <n v="0"/>
    <e v="#DIV/0!"/>
    <m/>
    <m/>
    <m/>
    <n v="0"/>
    <m/>
    <e v="#DIV/0!"/>
  </r>
  <r>
    <x v="8"/>
    <n v="3804032"/>
    <x v="31"/>
    <x v="0"/>
    <m/>
    <m/>
    <m/>
    <n v="0"/>
    <e v="#DIV/0!"/>
    <m/>
    <m/>
    <m/>
    <n v="0"/>
    <m/>
    <e v="#DIV/0!"/>
  </r>
  <r>
    <x v="8"/>
    <n v="3804033"/>
    <x v="32"/>
    <x v="0"/>
    <m/>
    <m/>
    <m/>
    <n v="0"/>
    <e v="#DIV/0!"/>
    <m/>
    <m/>
    <m/>
    <n v="0"/>
    <m/>
    <e v="#DIV/0!"/>
  </r>
  <r>
    <x v="9"/>
    <n v="3804001"/>
    <x v="0"/>
    <x v="0"/>
    <m/>
    <m/>
    <m/>
    <n v="0"/>
    <e v="#DIV/0!"/>
    <m/>
    <m/>
    <m/>
    <n v="0"/>
    <m/>
    <e v="#DIV/0!"/>
  </r>
  <r>
    <x v="9"/>
    <n v="3804002"/>
    <x v="1"/>
    <x v="1"/>
    <m/>
    <m/>
    <m/>
    <n v="0"/>
    <e v="#DIV/0!"/>
    <m/>
    <m/>
    <m/>
    <n v="0"/>
    <m/>
    <e v="#DIV/0!"/>
  </r>
  <r>
    <x v="9"/>
    <n v="3804003"/>
    <x v="2"/>
    <x v="1"/>
    <m/>
    <m/>
    <m/>
    <n v="0"/>
    <e v="#DIV/0!"/>
    <m/>
    <m/>
    <m/>
    <n v="0"/>
    <m/>
    <e v="#DIV/0!"/>
  </r>
  <r>
    <x v="9"/>
    <n v="3804004"/>
    <x v="3"/>
    <x v="1"/>
    <m/>
    <m/>
    <m/>
    <n v="0"/>
    <e v="#DIV/0!"/>
    <m/>
    <m/>
    <m/>
    <n v="0"/>
    <m/>
    <e v="#DIV/0!"/>
  </r>
  <r>
    <x v="9"/>
    <n v="3804005"/>
    <x v="4"/>
    <x v="1"/>
    <m/>
    <m/>
    <m/>
    <n v="0"/>
    <e v="#DIV/0!"/>
    <m/>
    <m/>
    <m/>
    <n v="0"/>
    <m/>
    <e v="#DIV/0!"/>
  </r>
  <r>
    <x v="9"/>
    <n v="3804006"/>
    <x v="5"/>
    <x v="1"/>
    <m/>
    <m/>
    <m/>
    <n v="0"/>
    <e v="#DIV/0!"/>
    <m/>
    <m/>
    <m/>
    <n v="0"/>
    <m/>
    <e v="#DIV/0!"/>
  </r>
  <r>
    <x v="9"/>
    <n v="3804007"/>
    <x v="6"/>
    <x v="2"/>
    <m/>
    <m/>
    <m/>
    <n v="0"/>
    <e v="#DIV/0!"/>
    <m/>
    <m/>
    <m/>
    <n v="0"/>
    <m/>
    <e v="#DIV/0!"/>
  </r>
  <r>
    <x v="9"/>
    <n v="3804008"/>
    <x v="7"/>
    <x v="2"/>
    <m/>
    <m/>
    <m/>
    <n v="0"/>
    <e v="#DIV/0!"/>
    <m/>
    <m/>
    <m/>
    <n v="0"/>
    <m/>
    <e v="#DIV/0!"/>
  </r>
  <r>
    <x v="9"/>
    <n v="3804009"/>
    <x v="8"/>
    <x v="2"/>
    <m/>
    <m/>
    <m/>
    <n v="0"/>
    <e v="#DIV/0!"/>
    <m/>
    <m/>
    <m/>
    <n v="0"/>
    <m/>
    <e v="#DIV/0!"/>
  </r>
  <r>
    <x v="9"/>
    <n v="3804010"/>
    <x v="9"/>
    <x v="3"/>
    <m/>
    <m/>
    <m/>
    <n v="0"/>
    <e v="#DIV/0!"/>
    <m/>
    <m/>
    <m/>
    <n v="0"/>
    <m/>
    <e v="#DIV/0!"/>
  </r>
  <r>
    <x v="9"/>
    <n v="3804011"/>
    <x v="10"/>
    <x v="3"/>
    <m/>
    <m/>
    <m/>
    <n v="0"/>
    <e v="#DIV/0!"/>
    <m/>
    <m/>
    <m/>
    <n v="0"/>
    <m/>
    <e v="#DIV/0!"/>
  </r>
  <r>
    <x v="9"/>
    <n v="3804012"/>
    <x v="11"/>
    <x v="3"/>
    <m/>
    <m/>
    <m/>
    <n v="0"/>
    <e v="#DIV/0!"/>
    <m/>
    <m/>
    <m/>
    <n v="0"/>
    <m/>
    <e v="#DIV/0!"/>
  </r>
  <r>
    <x v="9"/>
    <n v="3804013"/>
    <x v="12"/>
    <x v="3"/>
    <m/>
    <m/>
    <m/>
    <n v="0"/>
    <e v="#DIV/0!"/>
    <m/>
    <m/>
    <m/>
    <n v="0"/>
    <m/>
    <e v="#DIV/0!"/>
  </r>
  <r>
    <x v="9"/>
    <n v="3804014"/>
    <x v="13"/>
    <x v="3"/>
    <m/>
    <m/>
    <m/>
    <n v="0"/>
    <e v="#DIV/0!"/>
    <m/>
    <m/>
    <m/>
    <n v="0"/>
    <m/>
    <e v="#DIV/0!"/>
  </r>
  <r>
    <x v="9"/>
    <n v="3804015"/>
    <x v="14"/>
    <x v="4"/>
    <m/>
    <m/>
    <m/>
    <n v="0"/>
    <e v="#DIV/0!"/>
    <m/>
    <m/>
    <m/>
    <n v="0"/>
    <m/>
    <e v="#DIV/0!"/>
  </r>
  <r>
    <x v="9"/>
    <n v="3804016"/>
    <x v="15"/>
    <x v="5"/>
    <m/>
    <m/>
    <m/>
    <n v="0"/>
    <e v="#DIV/0!"/>
    <m/>
    <m/>
    <m/>
    <n v="0"/>
    <m/>
    <e v="#DIV/0!"/>
  </r>
  <r>
    <x v="9"/>
    <n v="3804017"/>
    <x v="16"/>
    <x v="5"/>
    <m/>
    <m/>
    <m/>
    <n v="0"/>
    <e v="#DIV/0!"/>
    <m/>
    <m/>
    <m/>
    <n v="0"/>
    <m/>
    <e v="#DIV/0!"/>
  </r>
  <r>
    <x v="9"/>
    <n v="3804018"/>
    <x v="17"/>
    <x v="4"/>
    <m/>
    <m/>
    <m/>
    <n v="0"/>
    <e v="#DIV/0!"/>
    <m/>
    <m/>
    <m/>
    <n v="0"/>
    <m/>
    <e v="#DIV/0!"/>
  </r>
  <r>
    <x v="9"/>
    <n v="3804019"/>
    <x v="18"/>
    <x v="4"/>
    <m/>
    <m/>
    <m/>
    <n v="0"/>
    <e v="#DIV/0!"/>
    <m/>
    <m/>
    <m/>
    <n v="0"/>
    <m/>
    <e v="#DIV/0!"/>
  </r>
  <r>
    <x v="9"/>
    <n v="3804020"/>
    <x v="19"/>
    <x v="5"/>
    <m/>
    <m/>
    <m/>
    <n v="0"/>
    <e v="#DIV/0!"/>
    <m/>
    <m/>
    <m/>
    <n v="0"/>
    <m/>
    <e v="#DIV/0!"/>
  </r>
  <r>
    <x v="9"/>
    <n v="3804021"/>
    <x v="20"/>
    <x v="5"/>
    <m/>
    <m/>
    <m/>
    <n v="0"/>
    <e v="#DIV/0!"/>
    <m/>
    <m/>
    <m/>
    <n v="0"/>
    <m/>
    <e v="#DIV/0!"/>
  </r>
  <r>
    <x v="9"/>
    <n v="3804022"/>
    <x v="21"/>
    <x v="5"/>
    <m/>
    <m/>
    <m/>
    <n v="0"/>
    <e v="#DIV/0!"/>
    <m/>
    <m/>
    <m/>
    <n v="0"/>
    <m/>
    <e v="#DIV/0!"/>
  </r>
  <r>
    <x v="9"/>
    <n v="3804023"/>
    <x v="22"/>
    <x v="5"/>
    <m/>
    <m/>
    <m/>
    <n v="0"/>
    <e v="#DIV/0!"/>
    <m/>
    <m/>
    <m/>
    <n v="0"/>
    <m/>
    <e v="#DIV/0!"/>
  </r>
  <r>
    <x v="9"/>
    <n v="3804024"/>
    <x v="23"/>
    <x v="4"/>
    <m/>
    <m/>
    <m/>
    <n v="0"/>
    <e v="#DIV/0!"/>
    <m/>
    <m/>
    <m/>
    <n v="0"/>
    <m/>
    <e v="#DIV/0!"/>
  </r>
  <r>
    <x v="9"/>
    <n v="3804025"/>
    <x v="24"/>
    <x v="4"/>
    <m/>
    <m/>
    <m/>
    <n v="0"/>
    <e v="#DIV/0!"/>
    <m/>
    <m/>
    <m/>
    <n v="0"/>
    <m/>
    <e v="#DIV/0!"/>
  </r>
  <r>
    <x v="9"/>
    <n v="3804026"/>
    <x v="25"/>
    <x v="7"/>
    <m/>
    <m/>
    <m/>
    <n v="0"/>
    <e v="#DIV/0!"/>
    <m/>
    <m/>
    <m/>
    <n v="0"/>
    <m/>
    <e v="#DIV/0!"/>
  </r>
  <r>
    <x v="9"/>
    <n v="3804027"/>
    <x v="26"/>
    <x v="1"/>
    <m/>
    <m/>
    <m/>
    <n v="0"/>
    <e v="#DIV/0!"/>
    <m/>
    <m/>
    <m/>
    <n v="0"/>
    <m/>
    <e v="#DIV/0!"/>
  </r>
  <r>
    <x v="9"/>
    <n v="3804028"/>
    <x v="27"/>
    <x v="1"/>
    <m/>
    <m/>
    <m/>
    <n v="0"/>
    <e v="#DIV/0!"/>
    <m/>
    <m/>
    <m/>
    <n v="0"/>
    <m/>
    <e v="#DIV/0!"/>
  </r>
  <r>
    <x v="9"/>
    <n v="3804029"/>
    <x v="28"/>
    <x v="1"/>
    <m/>
    <m/>
    <m/>
    <n v="0"/>
    <e v="#DIV/0!"/>
    <m/>
    <m/>
    <m/>
    <n v="0"/>
    <m/>
    <e v="#DIV/0!"/>
  </r>
  <r>
    <x v="9"/>
    <n v="3804030"/>
    <x v="29"/>
    <x v="0"/>
    <m/>
    <m/>
    <m/>
    <n v="0"/>
    <e v="#DIV/0!"/>
    <m/>
    <m/>
    <m/>
    <n v="0"/>
    <m/>
    <e v="#DIV/0!"/>
  </r>
  <r>
    <x v="9"/>
    <n v="3804031"/>
    <x v="30"/>
    <x v="0"/>
    <m/>
    <m/>
    <m/>
    <n v="0"/>
    <e v="#DIV/0!"/>
    <m/>
    <m/>
    <m/>
    <n v="0"/>
    <m/>
    <e v="#DIV/0!"/>
  </r>
  <r>
    <x v="9"/>
    <n v="3804032"/>
    <x v="31"/>
    <x v="0"/>
    <m/>
    <m/>
    <m/>
    <n v="0"/>
    <e v="#DIV/0!"/>
    <m/>
    <m/>
    <m/>
    <n v="0"/>
    <m/>
    <e v="#DIV/0!"/>
  </r>
  <r>
    <x v="9"/>
    <n v="3804033"/>
    <x v="32"/>
    <x v="0"/>
    <m/>
    <m/>
    <m/>
    <n v="0"/>
    <e v="#DIV/0!"/>
    <m/>
    <m/>
    <m/>
    <n v="0"/>
    <m/>
    <e v="#DIV/0!"/>
  </r>
  <r>
    <x v="10"/>
    <n v="3804001"/>
    <x v="0"/>
    <x v="0"/>
    <m/>
    <m/>
    <m/>
    <n v="0"/>
    <e v="#DIV/0!"/>
    <m/>
    <m/>
    <m/>
    <n v="0"/>
    <m/>
    <e v="#DIV/0!"/>
  </r>
  <r>
    <x v="10"/>
    <n v="3804002"/>
    <x v="1"/>
    <x v="1"/>
    <m/>
    <m/>
    <m/>
    <n v="0"/>
    <e v="#DIV/0!"/>
    <m/>
    <m/>
    <m/>
    <n v="0"/>
    <m/>
    <e v="#DIV/0!"/>
  </r>
  <r>
    <x v="10"/>
    <n v="3804003"/>
    <x v="2"/>
    <x v="1"/>
    <m/>
    <m/>
    <m/>
    <n v="0"/>
    <e v="#DIV/0!"/>
    <m/>
    <m/>
    <m/>
    <n v="0"/>
    <m/>
    <e v="#DIV/0!"/>
  </r>
  <r>
    <x v="10"/>
    <n v="3804004"/>
    <x v="3"/>
    <x v="1"/>
    <m/>
    <m/>
    <m/>
    <n v="0"/>
    <e v="#DIV/0!"/>
    <m/>
    <m/>
    <m/>
    <n v="0"/>
    <m/>
    <e v="#DIV/0!"/>
  </r>
  <r>
    <x v="10"/>
    <n v="3804005"/>
    <x v="4"/>
    <x v="1"/>
    <m/>
    <m/>
    <m/>
    <n v="0"/>
    <e v="#DIV/0!"/>
    <m/>
    <m/>
    <m/>
    <n v="0"/>
    <m/>
    <e v="#DIV/0!"/>
  </r>
  <r>
    <x v="10"/>
    <n v="3804006"/>
    <x v="5"/>
    <x v="1"/>
    <m/>
    <m/>
    <m/>
    <n v="0"/>
    <e v="#DIV/0!"/>
    <m/>
    <m/>
    <m/>
    <n v="0"/>
    <m/>
    <e v="#DIV/0!"/>
  </r>
  <r>
    <x v="10"/>
    <n v="3804007"/>
    <x v="6"/>
    <x v="2"/>
    <m/>
    <m/>
    <m/>
    <n v="0"/>
    <e v="#DIV/0!"/>
    <m/>
    <m/>
    <m/>
    <n v="0"/>
    <m/>
    <e v="#DIV/0!"/>
  </r>
  <r>
    <x v="10"/>
    <n v="3804008"/>
    <x v="7"/>
    <x v="2"/>
    <m/>
    <m/>
    <m/>
    <n v="0"/>
    <e v="#DIV/0!"/>
    <m/>
    <m/>
    <m/>
    <n v="0"/>
    <m/>
    <e v="#DIV/0!"/>
  </r>
  <r>
    <x v="10"/>
    <n v="3804009"/>
    <x v="8"/>
    <x v="2"/>
    <m/>
    <m/>
    <m/>
    <n v="0"/>
    <e v="#DIV/0!"/>
    <m/>
    <m/>
    <m/>
    <n v="0"/>
    <m/>
    <e v="#DIV/0!"/>
  </r>
  <r>
    <x v="10"/>
    <n v="3804010"/>
    <x v="9"/>
    <x v="3"/>
    <m/>
    <m/>
    <m/>
    <n v="0"/>
    <e v="#DIV/0!"/>
    <m/>
    <m/>
    <m/>
    <n v="0"/>
    <m/>
    <e v="#DIV/0!"/>
  </r>
  <r>
    <x v="10"/>
    <n v="3804011"/>
    <x v="10"/>
    <x v="3"/>
    <m/>
    <m/>
    <m/>
    <n v="0"/>
    <e v="#DIV/0!"/>
    <m/>
    <m/>
    <m/>
    <n v="0"/>
    <m/>
    <e v="#DIV/0!"/>
  </r>
  <r>
    <x v="10"/>
    <n v="3804012"/>
    <x v="11"/>
    <x v="3"/>
    <m/>
    <m/>
    <m/>
    <n v="0"/>
    <e v="#DIV/0!"/>
    <m/>
    <m/>
    <m/>
    <n v="0"/>
    <m/>
    <e v="#DIV/0!"/>
  </r>
  <r>
    <x v="10"/>
    <n v="3804013"/>
    <x v="12"/>
    <x v="3"/>
    <m/>
    <m/>
    <m/>
    <n v="0"/>
    <e v="#DIV/0!"/>
    <m/>
    <m/>
    <m/>
    <n v="0"/>
    <m/>
    <e v="#DIV/0!"/>
  </r>
  <r>
    <x v="10"/>
    <n v="3804014"/>
    <x v="13"/>
    <x v="3"/>
    <m/>
    <m/>
    <m/>
    <n v="0"/>
    <e v="#DIV/0!"/>
    <m/>
    <m/>
    <m/>
    <n v="0"/>
    <m/>
    <e v="#DIV/0!"/>
  </r>
  <r>
    <x v="10"/>
    <n v="3804015"/>
    <x v="14"/>
    <x v="4"/>
    <m/>
    <m/>
    <m/>
    <n v="0"/>
    <e v="#DIV/0!"/>
    <m/>
    <m/>
    <m/>
    <n v="0"/>
    <m/>
    <e v="#DIV/0!"/>
  </r>
  <r>
    <x v="10"/>
    <n v="3804016"/>
    <x v="15"/>
    <x v="5"/>
    <m/>
    <m/>
    <m/>
    <n v="0"/>
    <e v="#DIV/0!"/>
    <m/>
    <m/>
    <m/>
    <n v="0"/>
    <m/>
    <e v="#DIV/0!"/>
  </r>
  <r>
    <x v="10"/>
    <n v="3804017"/>
    <x v="16"/>
    <x v="5"/>
    <m/>
    <m/>
    <m/>
    <n v="0"/>
    <e v="#DIV/0!"/>
    <m/>
    <m/>
    <m/>
    <n v="0"/>
    <m/>
    <e v="#DIV/0!"/>
  </r>
  <r>
    <x v="10"/>
    <n v="3804018"/>
    <x v="17"/>
    <x v="4"/>
    <m/>
    <m/>
    <m/>
    <n v="0"/>
    <e v="#DIV/0!"/>
    <m/>
    <m/>
    <m/>
    <n v="0"/>
    <m/>
    <e v="#DIV/0!"/>
  </r>
  <r>
    <x v="10"/>
    <n v="3804019"/>
    <x v="18"/>
    <x v="4"/>
    <m/>
    <m/>
    <m/>
    <n v="0"/>
    <e v="#DIV/0!"/>
    <m/>
    <m/>
    <m/>
    <n v="0"/>
    <m/>
    <e v="#DIV/0!"/>
  </r>
  <r>
    <x v="10"/>
    <n v="3804020"/>
    <x v="19"/>
    <x v="5"/>
    <m/>
    <m/>
    <m/>
    <n v="0"/>
    <e v="#DIV/0!"/>
    <m/>
    <m/>
    <m/>
    <n v="0"/>
    <m/>
    <e v="#DIV/0!"/>
  </r>
  <r>
    <x v="10"/>
    <n v="3804021"/>
    <x v="20"/>
    <x v="5"/>
    <m/>
    <m/>
    <m/>
    <n v="0"/>
    <e v="#DIV/0!"/>
    <m/>
    <m/>
    <m/>
    <n v="0"/>
    <m/>
    <e v="#DIV/0!"/>
  </r>
  <r>
    <x v="10"/>
    <n v="3804022"/>
    <x v="21"/>
    <x v="5"/>
    <m/>
    <m/>
    <m/>
    <n v="0"/>
    <e v="#DIV/0!"/>
    <m/>
    <m/>
    <m/>
    <n v="0"/>
    <m/>
    <e v="#DIV/0!"/>
  </r>
  <r>
    <x v="10"/>
    <n v="3804023"/>
    <x v="22"/>
    <x v="5"/>
    <m/>
    <m/>
    <m/>
    <n v="0"/>
    <e v="#DIV/0!"/>
    <m/>
    <m/>
    <m/>
    <n v="0"/>
    <m/>
    <e v="#DIV/0!"/>
  </r>
  <r>
    <x v="10"/>
    <n v="3804024"/>
    <x v="23"/>
    <x v="4"/>
    <m/>
    <m/>
    <m/>
    <n v="0"/>
    <e v="#DIV/0!"/>
    <m/>
    <m/>
    <m/>
    <n v="0"/>
    <m/>
    <e v="#DIV/0!"/>
  </r>
  <r>
    <x v="10"/>
    <n v="3804025"/>
    <x v="24"/>
    <x v="4"/>
    <m/>
    <m/>
    <m/>
    <n v="0"/>
    <e v="#DIV/0!"/>
    <m/>
    <m/>
    <m/>
    <n v="0"/>
    <m/>
    <e v="#DIV/0!"/>
  </r>
  <r>
    <x v="10"/>
    <n v="3804026"/>
    <x v="25"/>
    <x v="7"/>
    <m/>
    <m/>
    <m/>
    <n v="0"/>
    <e v="#DIV/0!"/>
    <m/>
    <m/>
    <m/>
    <n v="0"/>
    <m/>
    <e v="#DIV/0!"/>
  </r>
  <r>
    <x v="10"/>
    <n v="3804027"/>
    <x v="26"/>
    <x v="1"/>
    <m/>
    <m/>
    <m/>
    <n v="0"/>
    <e v="#DIV/0!"/>
    <m/>
    <m/>
    <m/>
    <n v="0"/>
    <m/>
    <e v="#DIV/0!"/>
  </r>
  <r>
    <x v="10"/>
    <n v="3804028"/>
    <x v="27"/>
    <x v="1"/>
    <m/>
    <m/>
    <m/>
    <n v="0"/>
    <e v="#DIV/0!"/>
    <m/>
    <m/>
    <m/>
    <n v="0"/>
    <m/>
    <e v="#DIV/0!"/>
  </r>
  <r>
    <x v="10"/>
    <n v="3804029"/>
    <x v="28"/>
    <x v="1"/>
    <m/>
    <m/>
    <m/>
    <n v="0"/>
    <e v="#DIV/0!"/>
    <m/>
    <m/>
    <m/>
    <n v="0"/>
    <m/>
    <e v="#DIV/0!"/>
  </r>
  <r>
    <x v="10"/>
    <n v="3804030"/>
    <x v="29"/>
    <x v="0"/>
    <m/>
    <m/>
    <m/>
    <n v="0"/>
    <e v="#DIV/0!"/>
    <m/>
    <m/>
    <m/>
    <n v="0"/>
    <m/>
    <e v="#DIV/0!"/>
  </r>
  <r>
    <x v="10"/>
    <n v="3804031"/>
    <x v="30"/>
    <x v="0"/>
    <m/>
    <m/>
    <m/>
    <n v="0"/>
    <e v="#DIV/0!"/>
    <m/>
    <m/>
    <m/>
    <n v="0"/>
    <m/>
    <e v="#DIV/0!"/>
  </r>
  <r>
    <x v="10"/>
    <n v="3804032"/>
    <x v="31"/>
    <x v="0"/>
    <m/>
    <m/>
    <m/>
    <n v="0"/>
    <e v="#DIV/0!"/>
    <m/>
    <m/>
    <m/>
    <n v="0"/>
    <m/>
    <e v="#DIV/0!"/>
  </r>
  <r>
    <x v="10"/>
    <n v="3804033"/>
    <x v="32"/>
    <x v="0"/>
    <m/>
    <m/>
    <m/>
    <n v="0"/>
    <e v="#DIV/0!"/>
    <m/>
    <m/>
    <m/>
    <n v="0"/>
    <m/>
    <e v="#DIV/0!"/>
  </r>
  <r>
    <x v="11"/>
    <n v="3804001"/>
    <x v="0"/>
    <x v="0"/>
    <m/>
    <m/>
    <m/>
    <n v="0"/>
    <e v="#DIV/0!"/>
    <m/>
    <m/>
    <m/>
    <n v="0"/>
    <m/>
    <e v="#DIV/0!"/>
  </r>
  <r>
    <x v="11"/>
    <n v="3804002"/>
    <x v="1"/>
    <x v="1"/>
    <m/>
    <m/>
    <m/>
    <n v="0"/>
    <e v="#DIV/0!"/>
    <m/>
    <m/>
    <m/>
    <n v="0"/>
    <m/>
    <e v="#DIV/0!"/>
  </r>
  <r>
    <x v="11"/>
    <n v="3804003"/>
    <x v="2"/>
    <x v="1"/>
    <m/>
    <m/>
    <m/>
    <n v="0"/>
    <e v="#DIV/0!"/>
    <m/>
    <m/>
    <m/>
    <n v="0"/>
    <m/>
    <e v="#DIV/0!"/>
  </r>
  <r>
    <x v="11"/>
    <n v="3804004"/>
    <x v="3"/>
    <x v="1"/>
    <m/>
    <m/>
    <m/>
    <n v="0"/>
    <e v="#DIV/0!"/>
    <m/>
    <m/>
    <m/>
    <n v="0"/>
    <m/>
    <e v="#DIV/0!"/>
  </r>
  <r>
    <x v="11"/>
    <n v="3804005"/>
    <x v="4"/>
    <x v="1"/>
    <m/>
    <m/>
    <m/>
    <n v="0"/>
    <e v="#DIV/0!"/>
    <m/>
    <m/>
    <m/>
    <n v="0"/>
    <m/>
    <e v="#DIV/0!"/>
  </r>
  <r>
    <x v="11"/>
    <n v="3804006"/>
    <x v="5"/>
    <x v="1"/>
    <m/>
    <m/>
    <m/>
    <n v="0"/>
    <e v="#DIV/0!"/>
    <m/>
    <m/>
    <m/>
    <n v="0"/>
    <m/>
    <e v="#DIV/0!"/>
  </r>
  <r>
    <x v="11"/>
    <n v="3804007"/>
    <x v="6"/>
    <x v="2"/>
    <m/>
    <m/>
    <m/>
    <n v="0"/>
    <e v="#DIV/0!"/>
    <m/>
    <m/>
    <m/>
    <n v="0"/>
    <m/>
    <e v="#DIV/0!"/>
  </r>
  <r>
    <x v="11"/>
    <n v="3804008"/>
    <x v="7"/>
    <x v="2"/>
    <m/>
    <m/>
    <m/>
    <n v="0"/>
    <e v="#DIV/0!"/>
    <m/>
    <m/>
    <m/>
    <n v="0"/>
    <m/>
    <e v="#DIV/0!"/>
  </r>
  <r>
    <x v="11"/>
    <n v="3804009"/>
    <x v="8"/>
    <x v="2"/>
    <m/>
    <m/>
    <m/>
    <n v="0"/>
    <e v="#DIV/0!"/>
    <m/>
    <m/>
    <m/>
    <n v="0"/>
    <m/>
    <e v="#DIV/0!"/>
  </r>
  <r>
    <x v="11"/>
    <n v="3804010"/>
    <x v="9"/>
    <x v="3"/>
    <m/>
    <m/>
    <m/>
    <n v="0"/>
    <e v="#DIV/0!"/>
    <m/>
    <m/>
    <m/>
    <n v="0"/>
    <m/>
    <e v="#DIV/0!"/>
  </r>
  <r>
    <x v="11"/>
    <n v="3804011"/>
    <x v="10"/>
    <x v="3"/>
    <m/>
    <m/>
    <m/>
    <n v="0"/>
    <e v="#DIV/0!"/>
    <m/>
    <m/>
    <m/>
    <n v="0"/>
    <m/>
    <e v="#DIV/0!"/>
  </r>
  <r>
    <x v="11"/>
    <n v="3804012"/>
    <x v="11"/>
    <x v="3"/>
    <m/>
    <m/>
    <m/>
    <n v="0"/>
    <e v="#DIV/0!"/>
    <m/>
    <m/>
    <m/>
    <n v="0"/>
    <m/>
    <e v="#DIV/0!"/>
  </r>
  <r>
    <x v="11"/>
    <n v="3804013"/>
    <x v="12"/>
    <x v="3"/>
    <m/>
    <m/>
    <m/>
    <n v="0"/>
    <e v="#DIV/0!"/>
    <m/>
    <m/>
    <m/>
    <n v="0"/>
    <m/>
    <e v="#DIV/0!"/>
  </r>
  <r>
    <x v="11"/>
    <n v="3804014"/>
    <x v="13"/>
    <x v="3"/>
    <m/>
    <m/>
    <m/>
    <n v="0"/>
    <e v="#DIV/0!"/>
    <m/>
    <m/>
    <m/>
    <n v="0"/>
    <m/>
    <e v="#DIV/0!"/>
  </r>
  <r>
    <x v="11"/>
    <n v="3804015"/>
    <x v="14"/>
    <x v="4"/>
    <m/>
    <m/>
    <m/>
    <n v="0"/>
    <e v="#DIV/0!"/>
    <m/>
    <m/>
    <m/>
    <n v="0"/>
    <m/>
    <e v="#DIV/0!"/>
  </r>
  <r>
    <x v="11"/>
    <n v="3804016"/>
    <x v="15"/>
    <x v="5"/>
    <m/>
    <m/>
    <m/>
    <n v="0"/>
    <e v="#DIV/0!"/>
    <m/>
    <m/>
    <m/>
    <n v="0"/>
    <m/>
    <e v="#DIV/0!"/>
  </r>
  <r>
    <x v="11"/>
    <n v="3804017"/>
    <x v="16"/>
    <x v="5"/>
    <m/>
    <m/>
    <m/>
    <n v="0"/>
    <e v="#DIV/0!"/>
    <m/>
    <m/>
    <m/>
    <n v="0"/>
    <m/>
    <e v="#DIV/0!"/>
  </r>
  <r>
    <x v="11"/>
    <n v="3804018"/>
    <x v="17"/>
    <x v="4"/>
    <m/>
    <m/>
    <m/>
    <n v="0"/>
    <e v="#DIV/0!"/>
    <m/>
    <m/>
    <m/>
    <n v="0"/>
    <m/>
    <e v="#DIV/0!"/>
  </r>
  <r>
    <x v="11"/>
    <n v="3804019"/>
    <x v="18"/>
    <x v="4"/>
    <m/>
    <m/>
    <m/>
    <n v="0"/>
    <e v="#DIV/0!"/>
    <m/>
    <m/>
    <m/>
    <n v="0"/>
    <m/>
    <e v="#DIV/0!"/>
  </r>
  <r>
    <x v="11"/>
    <n v="3804020"/>
    <x v="19"/>
    <x v="5"/>
    <m/>
    <m/>
    <m/>
    <n v="0"/>
    <e v="#DIV/0!"/>
    <m/>
    <m/>
    <m/>
    <n v="0"/>
    <m/>
    <e v="#DIV/0!"/>
  </r>
  <r>
    <x v="11"/>
    <n v="3804021"/>
    <x v="20"/>
    <x v="5"/>
    <m/>
    <m/>
    <m/>
    <n v="0"/>
    <e v="#DIV/0!"/>
    <m/>
    <m/>
    <m/>
    <n v="0"/>
    <m/>
    <e v="#DIV/0!"/>
  </r>
  <r>
    <x v="11"/>
    <n v="3804022"/>
    <x v="21"/>
    <x v="5"/>
    <m/>
    <m/>
    <m/>
    <n v="0"/>
    <e v="#DIV/0!"/>
    <m/>
    <m/>
    <m/>
    <n v="0"/>
    <m/>
    <e v="#DIV/0!"/>
  </r>
  <r>
    <x v="11"/>
    <n v="3804023"/>
    <x v="22"/>
    <x v="5"/>
    <m/>
    <m/>
    <m/>
    <n v="0"/>
    <e v="#DIV/0!"/>
    <m/>
    <m/>
    <m/>
    <n v="0"/>
    <m/>
    <e v="#DIV/0!"/>
  </r>
  <r>
    <x v="11"/>
    <n v="3804024"/>
    <x v="23"/>
    <x v="4"/>
    <m/>
    <m/>
    <m/>
    <n v="0"/>
    <e v="#DIV/0!"/>
    <m/>
    <m/>
    <m/>
    <n v="0"/>
    <m/>
    <e v="#DIV/0!"/>
  </r>
  <r>
    <x v="11"/>
    <n v="3804025"/>
    <x v="24"/>
    <x v="4"/>
    <m/>
    <m/>
    <m/>
    <n v="0"/>
    <e v="#DIV/0!"/>
    <m/>
    <m/>
    <m/>
    <n v="0"/>
    <m/>
    <e v="#DIV/0!"/>
  </r>
  <r>
    <x v="11"/>
    <n v="3804026"/>
    <x v="25"/>
    <x v="7"/>
    <m/>
    <m/>
    <m/>
    <n v="0"/>
    <e v="#DIV/0!"/>
    <m/>
    <m/>
    <m/>
    <n v="0"/>
    <m/>
    <e v="#DIV/0!"/>
  </r>
  <r>
    <x v="11"/>
    <n v="3804027"/>
    <x v="26"/>
    <x v="1"/>
    <m/>
    <m/>
    <m/>
    <n v="0"/>
    <e v="#DIV/0!"/>
    <m/>
    <m/>
    <m/>
    <n v="0"/>
    <m/>
    <e v="#DIV/0!"/>
  </r>
  <r>
    <x v="11"/>
    <n v="3804028"/>
    <x v="27"/>
    <x v="1"/>
    <m/>
    <m/>
    <m/>
    <n v="0"/>
    <e v="#DIV/0!"/>
    <m/>
    <m/>
    <m/>
    <n v="0"/>
    <m/>
    <e v="#DIV/0!"/>
  </r>
  <r>
    <x v="11"/>
    <n v="3804029"/>
    <x v="28"/>
    <x v="1"/>
    <m/>
    <m/>
    <m/>
    <n v="0"/>
    <e v="#DIV/0!"/>
    <m/>
    <m/>
    <m/>
    <n v="0"/>
    <m/>
    <e v="#DIV/0!"/>
  </r>
  <r>
    <x v="11"/>
    <n v="3804030"/>
    <x v="29"/>
    <x v="0"/>
    <m/>
    <m/>
    <m/>
    <n v="0"/>
    <e v="#DIV/0!"/>
    <m/>
    <m/>
    <m/>
    <n v="0"/>
    <m/>
    <e v="#DIV/0!"/>
  </r>
  <r>
    <x v="11"/>
    <n v="3804031"/>
    <x v="30"/>
    <x v="0"/>
    <m/>
    <m/>
    <m/>
    <n v="0"/>
    <e v="#DIV/0!"/>
    <m/>
    <m/>
    <m/>
    <n v="0"/>
    <m/>
    <e v="#DIV/0!"/>
  </r>
  <r>
    <x v="11"/>
    <n v="3804032"/>
    <x v="31"/>
    <x v="0"/>
    <m/>
    <m/>
    <m/>
    <n v="0"/>
    <e v="#DIV/0!"/>
    <m/>
    <m/>
    <m/>
    <n v="0"/>
    <m/>
    <e v="#DIV/0!"/>
  </r>
  <r>
    <x v="11"/>
    <n v="3804033"/>
    <x v="32"/>
    <x v="0"/>
    <m/>
    <m/>
    <m/>
    <n v="0"/>
    <e v="#DIV/0!"/>
    <m/>
    <m/>
    <m/>
    <n v="0"/>
    <m/>
    <e v="#DIV/0!"/>
  </r>
  <r>
    <x v="12"/>
    <n v="3804001"/>
    <x v="0"/>
    <x v="0"/>
    <m/>
    <m/>
    <m/>
    <n v="0"/>
    <e v="#DIV/0!"/>
    <m/>
    <m/>
    <m/>
    <n v="0"/>
    <m/>
    <e v="#DIV/0!"/>
  </r>
  <r>
    <x v="12"/>
    <n v="3804002"/>
    <x v="1"/>
    <x v="1"/>
    <m/>
    <m/>
    <m/>
    <n v="0"/>
    <e v="#DIV/0!"/>
    <m/>
    <m/>
    <m/>
    <n v="0"/>
    <m/>
    <e v="#DIV/0!"/>
  </r>
  <r>
    <x v="12"/>
    <n v="3804003"/>
    <x v="2"/>
    <x v="1"/>
    <m/>
    <m/>
    <m/>
    <n v="0"/>
    <e v="#DIV/0!"/>
    <m/>
    <m/>
    <m/>
    <n v="0"/>
    <m/>
    <e v="#DIV/0!"/>
  </r>
  <r>
    <x v="12"/>
    <n v="3804004"/>
    <x v="3"/>
    <x v="1"/>
    <m/>
    <m/>
    <m/>
    <n v="0"/>
    <e v="#DIV/0!"/>
    <m/>
    <m/>
    <m/>
    <n v="0"/>
    <m/>
    <e v="#DIV/0!"/>
  </r>
  <r>
    <x v="12"/>
    <n v="3804005"/>
    <x v="4"/>
    <x v="1"/>
    <m/>
    <m/>
    <m/>
    <n v="0"/>
    <e v="#DIV/0!"/>
    <m/>
    <m/>
    <m/>
    <n v="0"/>
    <m/>
    <e v="#DIV/0!"/>
  </r>
  <r>
    <x v="12"/>
    <n v="3804006"/>
    <x v="5"/>
    <x v="1"/>
    <m/>
    <m/>
    <m/>
    <n v="0"/>
    <e v="#DIV/0!"/>
    <m/>
    <m/>
    <m/>
    <n v="0"/>
    <m/>
    <e v="#DIV/0!"/>
  </r>
  <r>
    <x v="12"/>
    <n v="3804007"/>
    <x v="6"/>
    <x v="2"/>
    <m/>
    <m/>
    <m/>
    <n v="0"/>
    <e v="#DIV/0!"/>
    <m/>
    <m/>
    <m/>
    <n v="0"/>
    <m/>
    <e v="#DIV/0!"/>
  </r>
  <r>
    <x v="12"/>
    <n v="3804008"/>
    <x v="7"/>
    <x v="2"/>
    <m/>
    <m/>
    <m/>
    <n v="0"/>
    <e v="#DIV/0!"/>
    <m/>
    <m/>
    <m/>
    <n v="0"/>
    <m/>
    <e v="#DIV/0!"/>
  </r>
  <r>
    <x v="12"/>
    <n v="3804009"/>
    <x v="8"/>
    <x v="2"/>
    <m/>
    <m/>
    <m/>
    <n v="0"/>
    <e v="#DIV/0!"/>
    <m/>
    <m/>
    <m/>
    <n v="0"/>
    <m/>
    <e v="#DIV/0!"/>
  </r>
  <r>
    <x v="12"/>
    <n v="3804010"/>
    <x v="9"/>
    <x v="3"/>
    <m/>
    <m/>
    <m/>
    <n v="0"/>
    <e v="#DIV/0!"/>
    <m/>
    <m/>
    <m/>
    <n v="0"/>
    <m/>
    <e v="#DIV/0!"/>
  </r>
  <r>
    <x v="12"/>
    <n v="3804011"/>
    <x v="10"/>
    <x v="3"/>
    <m/>
    <m/>
    <m/>
    <n v="0"/>
    <e v="#DIV/0!"/>
    <m/>
    <m/>
    <m/>
    <n v="0"/>
    <m/>
    <e v="#DIV/0!"/>
  </r>
  <r>
    <x v="12"/>
    <n v="3804012"/>
    <x v="11"/>
    <x v="3"/>
    <m/>
    <m/>
    <m/>
    <n v="0"/>
    <e v="#DIV/0!"/>
    <m/>
    <m/>
    <m/>
    <n v="0"/>
    <m/>
    <e v="#DIV/0!"/>
  </r>
  <r>
    <x v="12"/>
    <n v="3804013"/>
    <x v="12"/>
    <x v="3"/>
    <m/>
    <m/>
    <m/>
    <n v="0"/>
    <e v="#DIV/0!"/>
    <m/>
    <m/>
    <m/>
    <n v="0"/>
    <m/>
    <e v="#DIV/0!"/>
  </r>
  <r>
    <x v="12"/>
    <n v="3804014"/>
    <x v="13"/>
    <x v="3"/>
    <m/>
    <m/>
    <m/>
    <n v="0"/>
    <e v="#DIV/0!"/>
    <m/>
    <m/>
    <m/>
    <n v="0"/>
    <m/>
    <e v="#DIV/0!"/>
  </r>
  <r>
    <x v="12"/>
    <n v="3804015"/>
    <x v="14"/>
    <x v="4"/>
    <m/>
    <m/>
    <m/>
    <n v="0"/>
    <e v="#DIV/0!"/>
    <m/>
    <m/>
    <m/>
    <n v="0"/>
    <m/>
    <e v="#DIV/0!"/>
  </r>
  <r>
    <x v="12"/>
    <n v="3804016"/>
    <x v="15"/>
    <x v="5"/>
    <m/>
    <m/>
    <m/>
    <n v="0"/>
    <e v="#DIV/0!"/>
    <m/>
    <m/>
    <m/>
    <n v="0"/>
    <m/>
    <e v="#DIV/0!"/>
  </r>
  <r>
    <x v="12"/>
    <n v="3804017"/>
    <x v="16"/>
    <x v="5"/>
    <m/>
    <m/>
    <m/>
    <n v="0"/>
    <e v="#DIV/0!"/>
    <m/>
    <m/>
    <m/>
    <n v="0"/>
    <m/>
    <e v="#DIV/0!"/>
  </r>
  <r>
    <x v="12"/>
    <n v="3804018"/>
    <x v="17"/>
    <x v="4"/>
    <m/>
    <m/>
    <m/>
    <n v="0"/>
    <e v="#DIV/0!"/>
    <m/>
    <m/>
    <m/>
    <n v="0"/>
    <m/>
    <e v="#DIV/0!"/>
  </r>
  <r>
    <x v="12"/>
    <n v="3804019"/>
    <x v="18"/>
    <x v="4"/>
    <m/>
    <m/>
    <m/>
    <n v="0"/>
    <e v="#DIV/0!"/>
    <m/>
    <m/>
    <m/>
    <n v="0"/>
    <m/>
    <e v="#DIV/0!"/>
  </r>
  <r>
    <x v="12"/>
    <n v="3804020"/>
    <x v="19"/>
    <x v="5"/>
    <m/>
    <m/>
    <m/>
    <n v="0"/>
    <e v="#DIV/0!"/>
    <m/>
    <m/>
    <m/>
    <n v="0"/>
    <m/>
    <e v="#DIV/0!"/>
  </r>
  <r>
    <x v="12"/>
    <n v="3804021"/>
    <x v="20"/>
    <x v="5"/>
    <m/>
    <m/>
    <m/>
    <n v="0"/>
    <e v="#DIV/0!"/>
    <m/>
    <m/>
    <m/>
    <n v="0"/>
    <m/>
    <e v="#DIV/0!"/>
  </r>
  <r>
    <x v="12"/>
    <n v="3804022"/>
    <x v="21"/>
    <x v="5"/>
    <m/>
    <m/>
    <m/>
    <n v="0"/>
    <e v="#DIV/0!"/>
    <m/>
    <m/>
    <m/>
    <n v="0"/>
    <m/>
    <e v="#DIV/0!"/>
  </r>
  <r>
    <x v="12"/>
    <n v="3804023"/>
    <x v="22"/>
    <x v="5"/>
    <m/>
    <m/>
    <m/>
    <n v="0"/>
    <e v="#DIV/0!"/>
    <m/>
    <m/>
    <m/>
    <n v="0"/>
    <m/>
    <e v="#DIV/0!"/>
  </r>
  <r>
    <x v="12"/>
    <n v="3804024"/>
    <x v="23"/>
    <x v="4"/>
    <m/>
    <m/>
    <m/>
    <n v="0"/>
    <e v="#DIV/0!"/>
    <m/>
    <m/>
    <m/>
    <n v="0"/>
    <m/>
    <e v="#DIV/0!"/>
  </r>
  <r>
    <x v="12"/>
    <n v="3804025"/>
    <x v="24"/>
    <x v="4"/>
    <m/>
    <m/>
    <m/>
    <n v="0"/>
    <e v="#DIV/0!"/>
    <m/>
    <m/>
    <m/>
    <n v="0"/>
    <m/>
    <e v="#DIV/0!"/>
  </r>
  <r>
    <x v="12"/>
    <n v="3804026"/>
    <x v="25"/>
    <x v="7"/>
    <m/>
    <m/>
    <m/>
    <n v="0"/>
    <e v="#DIV/0!"/>
    <m/>
    <m/>
    <m/>
    <n v="0"/>
    <m/>
    <e v="#DIV/0!"/>
  </r>
  <r>
    <x v="12"/>
    <n v="3804027"/>
    <x v="26"/>
    <x v="1"/>
    <m/>
    <m/>
    <m/>
    <n v="0"/>
    <e v="#DIV/0!"/>
    <m/>
    <m/>
    <m/>
    <n v="0"/>
    <m/>
    <e v="#DIV/0!"/>
  </r>
  <r>
    <x v="12"/>
    <n v="3804028"/>
    <x v="27"/>
    <x v="1"/>
    <m/>
    <m/>
    <m/>
    <n v="0"/>
    <e v="#DIV/0!"/>
    <m/>
    <m/>
    <m/>
    <n v="0"/>
    <m/>
    <e v="#DIV/0!"/>
  </r>
  <r>
    <x v="12"/>
    <n v="3804029"/>
    <x v="28"/>
    <x v="1"/>
    <m/>
    <m/>
    <m/>
    <n v="0"/>
    <e v="#DIV/0!"/>
    <m/>
    <m/>
    <m/>
    <n v="0"/>
    <m/>
    <e v="#DIV/0!"/>
  </r>
  <r>
    <x v="12"/>
    <n v="3804030"/>
    <x v="29"/>
    <x v="0"/>
    <m/>
    <m/>
    <m/>
    <n v="0"/>
    <e v="#DIV/0!"/>
    <m/>
    <m/>
    <m/>
    <n v="0"/>
    <m/>
    <e v="#DIV/0!"/>
  </r>
  <r>
    <x v="12"/>
    <n v="3804031"/>
    <x v="30"/>
    <x v="0"/>
    <m/>
    <m/>
    <m/>
    <n v="0"/>
    <e v="#DIV/0!"/>
    <m/>
    <m/>
    <m/>
    <n v="0"/>
    <m/>
    <e v="#DIV/0!"/>
  </r>
  <r>
    <x v="12"/>
    <n v="3804032"/>
    <x v="31"/>
    <x v="0"/>
    <m/>
    <m/>
    <m/>
    <n v="0"/>
    <e v="#DIV/0!"/>
    <m/>
    <m/>
    <m/>
    <n v="0"/>
    <m/>
    <e v="#DIV/0!"/>
  </r>
  <r>
    <x v="12"/>
    <n v="3804033"/>
    <x v="32"/>
    <x v="0"/>
    <m/>
    <m/>
    <m/>
    <n v="0"/>
    <e v="#DIV/0!"/>
    <m/>
    <m/>
    <m/>
    <n v="0"/>
    <m/>
    <e v="#DIV/0!"/>
  </r>
  <r>
    <x v="13"/>
    <n v="3804001"/>
    <x v="0"/>
    <x v="0"/>
    <m/>
    <m/>
    <m/>
    <n v="0"/>
    <e v="#DIV/0!"/>
    <m/>
    <m/>
    <m/>
    <n v="0"/>
    <m/>
    <e v="#DIV/0!"/>
  </r>
  <r>
    <x v="13"/>
    <n v="3804002"/>
    <x v="1"/>
    <x v="1"/>
    <m/>
    <m/>
    <m/>
    <n v="0"/>
    <e v="#DIV/0!"/>
    <m/>
    <m/>
    <m/>
    <n v="0"/>
    <m/>
    <e v="#DIV/0!"/>
  </r>
  <r>
    <x v="13"/>
    <n v="3804003"/>
    <x v="2"/>
    <x v="1"/>
    <m/>
    <m/>
    <m/>
    <n v="0"/>
    <e v="#DIV/0!"/>
    <m/>
    <m/>
    <m/>
    <n v="0"/>
    <m/>
    <e v="#DIV/0!"/>
  </r>
  <r>
    <x v="13"/>
    <n v="3804004"/>
    <x v="3"/>
    <x v="1"/>
    <m/>
    <m/>
    <m/>
    <n v="0"/>
    <e v="#DIV/0!"/>
    <m/>
    <m/>
    <m/>
    <n v="0"/>
    <m/>
    <e v="#DIV/0!"/>
  </r>
  <r>
    <x v="13"/>
    <n v="3804005"/>
    <x v="4"/>
    <x v="1"/>
    <m/>
    <m/>
    <m/>
    <n v="0"/>
    <e v="#DIV/0!"/>
    <m/>
    <m/>
    <m/>
    <n v="0"/>
    <m/>
    <e v="#DIV/0!"/>
  </r>
  <r>
    <x v="13"/>
    <n v="3804006"/>
    <x v="5"/>
    <x v="1"/>
    <m/>
    <m/>
    <m/>
    <n v="0"/>
    <e v="#DIV/0!"/>
    <m/>
    <m/>
    <m/>
    <n v="0"/>
    <m/>
    <e v="#DIV/0!"/>
  </r>
  <r>
    <x v="13"/>
    <n v="3804007"/>
    <x v="6"/>
    <x v="2"/>
    <m/>
    <m/>
    <m/>
    <n v="0"/>
    <e v="#DIV/0!"/>
    <m/>
    <m/>
    <m/>
    <n v="0"/>
    <m/>
    <e v="#DIV/0!"/>
  </r>
  <r>
    <x v="13"/>
    <n v="3804008"/>
    <x v="7"/>
    <x v="2"/>
    <m/>
    <m/>
    <m/>
    <n v="0"/>
    <e v="#DIV/0!"/>
    <m/>
    <m/>
    <m/>
    <n v="0"/>
    <m/>
    <e v="#DIV/0!"/>
  </r>
  <r>
    <x v="13"/>
    <n v="3804009"/>
    <x v="8"/>
    <x v="2"/>
    <m/>
    <m/>
    <m/>
    <n v="0"/>
    <e v="#DIV/0!"/>
    <m/>
    <m/>
    <m/>
    <n v="0"/>
    <m/>
    <e v="#DIV/0!"/>
  </r>
  <r>
    <x v="13"/>
    <n v="3804010"/>
    <x v="9"/>
    <x v="3"/>
    <m/>
    <m/>
    <m/>
    <n v="0"/>
    <e v="#DIV/0!"/>
    <m/>
    <m/>
    <m/>
    <n v="0"/>
    <m/>
    <e v="#DIV/0!"/>
  </r>
  <r>
    <x v="13"/>
    <n v="3804011"/>
    <x v="10"/>
    <x v="3"/>
    <m/>
    <m/>
    <m/>
    <n v="0"/>
    <e v="#DIV/0!"/>
    <m/>
    <m/>
    <m/>
    <n v="0"/>
    <m/>
    <e v="#DIV/0!"/>
  </r>
  <r>
    <x v="13"/>
    <n v="3804012"/>
    <x v="11"/>
    <x v="3"/>
    <m/>
    <m/>
    <m/>
    <n v="0"/>
    <e v="#DIV/0!"/>
    <m/>
    <m/>
    <m/>
    <n v="0"/>
    <m/>
    <e v="#DIV/0!"/>
  </r>
  <r>
    <x v="13"/>
    <n v="3804013"/>
    <x v="12"/>
    <x v="3"/>
    <m/>
    <m/>
    <m/>
    <n v="0"/>
    <e v="#DIV/0!"/>
    <m/>
    <m/>
    <m/>
    <n v="0"/>
    <m/>
    <e v="#DIV/0!"/>
  </r>
  <r>
    <x v="13"/>
    <n v="3804014"/>
    <x v="13"/>
    <x v="3"/>
    <m/>
    <m/>
    <m/>
    <n v="0"/>
    <e v="#DIV/0!"/>
    <m/>
    <m/>
    <m/>
    <n v="0"/>
    <m/>
    <e v="#DIV/0!"/>
  </r>
  <r>
    <x v="13"/>
    <n v="3804015"/>
    <x v="14"/>
    <x v="4"/>
    <m/>
    <m/>
    <m/>
    <n v="0"/>
    <e v="#DIV/0!"/>
    <m/>
    <m/>
    <m/>
    <n v="0"/>
    <m/>
    <e v="#DIV/0!"/>
  </r>
  <r>
    <x v="13"/>
    <n v="3804016"/>
    <x v="15"/>
    <x v="5"/>
    <m/>
    <m/>
    <m/>
    <n v="0"/>
    <e v="#DIV/0!"/>
    <m/>
    <m/>
    <m/>
    <n v="0"/>
    <m/>
    <e v="#DIV/0!"/>
  </r>
  <r>
    <x v="13"/>
    <n v="3804017"/>
    <x v="16"/>
    <x v="5"/>
    <m/>
    <m/>
    <m/>
    <n v="0"/>
    <e v="#DIV/0!"/>
    <m/>
    <m/>
    <m/>
    <n v="0"/>
    <m/>
    <e v="#DIV/0!"/>
  </r>
  <r>
    <x v="13"/>
    <n v="3804018"/>
    <x v="17"/>
    <x v="4"/>
    <m/>
    <m/>
    <m/>
    <n v="0"/>
    <e v="#DIV/0!"/>
    <m/>
    <m/>
    <m/>
    <n v="0"/>
    <m/>
    <e v="#DIV/0!"/>
  </r>
  <r>
    <x v="13"/>
    <n v="3804019"/>
    <x v="18"/>
    <x v="4"/>
    <m/>
    <m/>
    <m/>
    <n v="0"/>
    <e v="#DIV/0!"/>
    <m/>
    <m/>
    <m/>
    <n v="0"/>
    <m/>
    <e v="#DIV/0!"/>
  </r>
  <r>
    <x v="13"/>
    <n v="3804020"/>
    <x v="19"/>
    <x v="5"/>
    <m/>
    <m/>
    <m/>
    <n v="0"/>
    <e v="#DIV/0!"/>
    <m/>
    <m/>
    <m/>
    <n v="0"/>
    <m/>
    <e v="#DIV/0!"/>
  </r>
  <r>
    <x v="13"/>
    <n v="3804021"/>
    <x v="20"/>
    <x v="5"/>
    <m/>
    <m/>
    <m/>
    <n v="0"/>
    <e v="#DIV/0!"/>
    <m/>
    <m/>
    <m/>
    <n v="0"/>
    <m/>
    <e v="#DIV/0!"/>
  </r>
  <r>
    <x v="13"/>
    <n v="3804022"/>
    <x v="21"/>
    <x v="5"/>
    <m/>
    <m/>
    <m/>
    <n v="0"/>
    <e v="#DIV/0!"/>
    <m/>
    <m/>
    <m/>
    <n v="0"/>
    <m/>
    <e v="#DIV/0!"/>
  </r>
  <r>
    <x v="13"/>
    <n v="3804023"/>
    <x v="22"/>
    <x v="5"/>
    <m/>
    <m/>
    <m/>
    <n v="0"/>
    <e v="#DIV/0!"/>
    <m/>
    <m/>
    <m/>
    <n v="0"/>
    <m/>
    <e v="#DIV/0!"/>
  </r>
  <r>
    <x v="13"/>
    <n v="3804024"/>
    <x v="23"/>
    <x v="4"/>
    <m/>
    <m/>
    <m/>
    <n v="0"/>
    <e v="#DIV/0!"/>
    <m/>
    <m/>
    <m/>
    <n v="0"/>
    <m/>
    <e v="#DIV/0!"/>
  </r>
  <r>
    <x v="13"/>
    <n v="3804025"/>
    <x v="24"/>
    <x v="4"/>
    <m/>
    <m/>
    <m/>
    <n v="0"/>
    <e v="#DIV/0!"/>
    <m/>
    <m/>
    <m/>
    <n v="0"/>
    <m/>
    <e v="#DIV/0!"/>
  </r>
  <r>
    <x v="13"/>
    <n v="3804026"/>
    <x v="25"/>
    <x v="7"/>
    <m/>
    <m/>
    <m/>
    <n v="0"/>
    <e v="#DIV/0!"/>
    <m/>
    <m/>
    <m/>
    <n v="0"/>
    <m/>
    <e v="#DIV/0!"/>
  </r>
  <r>
    <x v="13"/>
    <n v="3804027"/>
    <x v="26"/>
    <x v="1"/>
    <m/>
    <m/>
    <m/>
    <n v="0"/>
    <e v="#DIV/0!"/>
    <m/>
    <m/>
    <m/>
    <n v="0"/>
    <m/>
    <e v="#DIV/0!"/>
  </r>
  <r>
    <x v="13"/>
    <n v="3804028"/>
    <x v="27"/>
    <x v="1"/>
    <m/>
    <m/>
    <m/>
    <n v="0"/>
    <e v="#DIV/0!"/>
    <m/>
    <m/>
    <m/>
    <n v="0"/>
    <m/>
    <e v="#DIV/0!"/>
  </r>
  <r>
    <x v="13"/>
    <n v="3804029"/>
    <x v="28"/>
    <x v="7"/>
    <m/>
    <m/>
    <m/>
    <n v="0"/>
    <e v="#DIV/0!"/>
    <m/>
    <m/>
    <m/>
    <n v="0"/>
    <m/>
    <e v="#DIV/0!"/>
  </r>
  <r>
    <x v="13"/>
    <n v="3804030"/>
    <x v="29"/>
    <x v="0"/>
    <m/>
    <m/>
    <m/>
    <n v="0"/>
    <e v="#DIV/0!"/>
    <m/>
    <m/>
    <m/>
    <n v="0"/>
    <m/>
    <e v="#DIV/0!"/>
  </r>
  <r>
    <x v="13"/>
    <n v="3804031"/>
    <x v="30"/>
    <x v="0"/>
    <m/>
    <m/>
    <m/>
    <n v="0"/>
    <e v="#DIV/0!"/>
    <m/>
    <m/>
    <m/>
    <n v="0"/>
    <m/>
    <e v="#DIV/0!"/>
  </r>
  <r>
    <x v="13"/>
    <n v="3804032"/>
    <x v="31"/>
    <x v="0"/>
    <m/>
    <m/>
    <m/>
    <n v="0"/>
    <e v="#DIV/0!"/>
    <m/>
    <m/>
    <m/>
    <n v="0"/>
    <m/>
    <e v="#DIV/0!"/>
  </r>
  <r>
    <x v="13"/>
    <n v="3804033"/>
    <x v="32"/>
    <x v="0"/>
    <m/>
    <m/>
    <m/>
    <n v="0"/>
    <e v="#DIV/0!"/>
    <m/>
    <m/>
    <m/>
    <n v="0"/>
    <m/>
    <e v="#DIV/0!"/>
  </r>
  <r>
    <x v="14"/>
    <n v="3804001"/>
    <x v="0"/>
    <x v="0"/>
    <m/>
    <m/>
    <m/>
    <n v="0"/>
    <e v="#DIV/0!"/>
    <m/>
    <m/>
    <m/>
    <n v="0"/>
    <m/>
    <e v="#DIV/0!"/>
  </r>
  <r>
    <x v="14"/>
    <n v="3804002"/>
    <x v="1"/>
    <x v="1"/>
    <m/>
    <m/>
    <m/>
    <n v="0"/>
    <e v="#DIV/0!"/>
    <m/>
    <m/>
    <m/>
    <n v="0"/>
    <m/>
    <e v="#DIV/0!"/>
  </r>
  <r>
    <x v="14"/>
    <n v="3804003"/>
    <x v="2"/>
    <x v="1"/>
    <m/>
    <m/>
    <m/>
    <n v="0"/>
    <n v="0"/>
    <m/>
    <m/>
    <m/>
    <n v="0"/>
    <m/>
    <n v="0"/>
  </r>
  <r>
    <x v="14"/>
    <n v="3804004"/>
    <x v="3"/>
    <x v="1"/>
    <m/>
    <m/>
    <m/>
    <n v="0"/>
    <e v="#DIV/0!"/>
    <m/>
    <m/>
    <m/>
    <n v="0"/>
    <m/>
    <e v="#DIV/0!"/>
  </r>
  <r>
    <x v="14"/>
    <n v="3804005"/>
    <x v="4"/>
    <x v="1"/>
    <m/>
    <m/>
    <m/>
    <n v="0"/>
    <e v="#DIV/0!"/>
    <m/>
    <m/>
    <m/>
    <n v="0"/>
    <m/>
    <e v="#DIV/0!"/>
  </r>
  <r>
    <x v="14"/>
    <n v="3804006"/>
    <x v="5"/>
    <x v="1"/>
    <m/>
    <m/>
    <m/>
    <n v="0"/>
    <e v="#DIV/0!"/>
    <m/>
    <m/>
    <m/>
    <n v="0"/>
    <m/>
    <e v="#DIV/0!"/>
  </r>
  <r>
    <x v="14"/>
    <n v="3804007"/>
    <x v="6"/>
    <x v="2"/>
    <m/>
    <m/>
    <m/>
    <n v="0"/>
    <e v="#DIV/0!"/>
    <m/>
    <m/>
    <m/>
    <n v="0"/>
    <m/>
    <e v="#DIV/0!"/>
  </r>
  <r>
    <x v="14"/>
    <n v="3804008"/>
    <x v="7"/>
    <x v="2"/>
    <m/>
    <m/>
    <m/>
    <n v="0"/>
    <e v="#DIV/0!"/>
    <m/>
    <m/>
    <m/>
    <n v="0"/>
    <m/>
    <e v="#DIV/0!"/>
  </r>
  <r>
    <x v="14"/>
    <n v="3804009"/>
    <x v="8"/>
    <x v="2"/>
    <m/>
    <m/>
    <m/>
    <n v="0"/>
    <e v="#DIV/0!"/>
    <m/>
    <m/>
    <m/>
    <n v="0"/>
    <m/>
    <e v="#DIV/0!"/>
  </r>
  <r>
    <x v="14"/>
    <n v="3804010"/>
    <x v="9"/>
    <x v="3"/>
    <m/>
    <m/>
    <m/>
    <n v="0"/>
    <e v="#DIV/0!"/>
    <m/>
    <m/>
    <m/>
    <n v="0"/>
    <m/>
    <e v="#DIV/0!"/>
  </r>
  <r>
    <x v="14"/>
    <n v="3804011"/>
    <x v="10"/>
    <x v="3"/>
    <m/>
    <m/>
    <m/>
    <n v="0"/>
    <e v="#DIV/0!"/>
    <m/>
    <m/>
    <m/>
    <n v="0"/>
    <m/>
    <e v="#DIV/0!"/>
  </r>
  <r>
    <x v="14"/>
    <n v="3804012"/>
    <x v="11"/>
    <x v="3"/>
    <m/>
    <m/>
    <m/>
    <n v="0"/>
    <e v="#DIV/0!"/>
    <m/>
    <m/>
    <m/>
    <n v="0"/>
    <m/>
    <e v="#DIV/0!"/>
  </r>
  <r>
    <x v="14"/>
    <n v="3804013"/>
    <x v="12"/>
    <x v="3"/>
    <m/>
    <m/>
    <m/>
    <n v="0"/>
    <e v="#DIV/0!"/>
    <m/>
    <m/>
    <m/>
    <n v="0"/>
    <m/>
    <e v="#DIV/0!"/>
  </r>
  <r>
    <x v="14"/>
    <n v="3804014"/>
    <x v="13"/>
    <x v="3"/>
    <m/>
    <m/>
    <m/>
    <n v="0"/>
    <e v="#DIV/0!"/>
    <m/>
    <m/>
    <m/>
    <n v="0"/>
    <m/>
    <e v="#DIV/0!"/>
  </r>
  <r>
    <x v="14"/>
    <n v="3804015"/>
    <x v="14"/>
    <x v="4"/>
    <m/>
    <m/>
    <m/>
    <n v="0"/>
    <e v="#DIV/0!"/>
    <m/>
    <m/>
    <m/>
    <n v="0"/>
    <m/>
    <e v="#DIV/0!"/>
  </r>
  <r>
    <x v="14"/>
    <n v="3804016"/>
    <x v="15"/>
    <x v="5"/>
    <m/>
    <m/>
    <m/>
    <n v="0"/>
    <e v="#DIV/0!"/>
    <m/>
    <m/>
    <m/>
    <n v="0"/>
    <m/>
    <e v="#DIV/0!"/>
  </r>
  <r>
    <x v="14"/>
    <n v="3804017"/>
    <x v="16"/>
    <x v="5"/>
    <m/>
    <m/>
    <m/>
    <n v="0"/>
    <e v="#DIV/0!"/>
    <m/>
    <m/>
    <m/>
    <n v="0"/>
    <m/>
    <e v="#DIV/0!"/>
  </r>
  <r>
    <x v="14"/>
    <n v="3804018"/>
    <x v="17"/>
    <x v="4"/>
    <m/>
    <m/>
    <m/>
    <n v="0"/>
    <e v="#DIV/0!"/>
    <m/>
    <m/>
    <m/>
    <n v="0"/>
    <m/>
    <e v="#DIV/0!"/>
  </r>
  <r>
    <x v="14"/>
    <n v="3804019"/>
    <x v="18"/>
    <x v="4"/>
    <m/>
    <m/>
    <m/>
    <n v="0"/>
    <e v="#DIV/0!"/>
    <m/>
    <m/>
    <m/>
    <n v="0"/>
    <m/>
    <e v="#DIV/0!"/>
  </r>
  <r>
    <x v="14"/>
    <n v="3804020"/>
    <x v="19"/>
    <x v="5"/>
    <m/>
    <m/>
    <m/>
    <n v="0"/>
    <e v="#DIV/0!"/>
    <m/>
    <m/>
    <m/>
    <n v="0"/>
    <m/>
    <e v="#DIV/0!"/>
  </r>
  <r>
    <x v="14"/>
    <n v="3804021"/>
    <x v="20"/>
    <x v="5"/>
    <m/>
    <m/>
    <m/>
    <n v="0"/>
    <e v="#DIV/0!"/>
    <m/>
    <m/>
    <m/>
    <n v="0"/>
    <m/>
    <e v="#DIV/0!"/>
  </r>
  <r>
    <x v="14"/>
    <n v="3804022"/>
    <x v="21"/>
    <x v="5"/>
    <m/>
    <m/>
    <m/>
    <n v="0"/>
    <e v="#DIV/0!"/>
    <m/>
    <m/>
    <m/>
    <n v="0"/>
    <m/>
    <e v="#DIV/0!"/>
  </r>
  <r>
    <x v="14"/>
    <n v="3804023"/>
    <x v="22"/>
    <x v="5"/>
    <m/>
    <m/>
    <m/>
    <n v="0"/>
    <e v="#DIV/0!"/>
    <m/>
    <m/>
    <m/>
    <n v="0"/>
    <m/>
    <e v="#DIV/0!"/>
  </r>
  <r>
    <x v="14"/>
    <n v="3804024"/>
    <x v="23"/>
    <x v="4"/>
    <m/>
    <m/>
    <m/>
    <n v="0"/>
    <e v="#DIV/0!"/>
    <m/>
    <m/>
    <m/>
    <n v="0"/>
    <m/>
    <e v="#DIV/0!"/>
  </r>
  <r>
    <x v="14"/>
    <n v="3804025"/>
    <x v="24"/>
    <x v="4"/>
    <m/>
    <m/>
    <m/>
    <n v="0"/>
    <e v="#DIV/0!"/>
    <m/>
    <m/>
    <m/>
    <n v="0"/>
    <m/>
    <e v="#DIV/0!"/>
  </r>
  <r>
    <x v="14"/>
    <n v="3804026"/>
    <x v="25"/>
    <x v="7"/>
    <m/>
    <m/>
    <m/>
    <n v="0"/>
    <e v="#DIV/0!"/>
    <m/>
    <m/>
    <m/>
    <n v="0"/>
    <m/>
    <e v="#DIV/0!"/>
  </r>
  <r>
    <x v="14"/>
    <n v="3804027"/>
    <x v="26"/>
    <x v="1"/>
    <m/>
    <m/>
    <m/>
    <n v="0"/>
    <e v="#DIV/0!"/>
    <m/>
    <m/>
    <m/>
    <n v="0"/>
    <m/>
    <e v="#DIV/0!"/>
  </r>
  <r>
    <x v="14"/>
    <n v="3804028"/>
    <x v="27"/>
    <x v="1"/>
    <m/>
    <m/>
    <m/>
    <n v="0"/>
    <e v="#DIV/0!"/>
    <m/>
    <m/>
    <m/>
    <n v="0"/>
    <m/>
    <m/>
  </r>
  <r>
    <x v="14"/>
    <n v="3804029"/>
    <x v="28"/>
    <x v="7"/>
    <m/>
    <m/>
    <m/>
    <n v="0"/>
    <e v="#DIV/0!"/>
    <m/>
    <m/>
    <m/>
    <n v="0"/>
    <m/>
    <e v="#DIV/0!"/>
  </r>
  <r>
    <x v="14"/>
    <n v="3804030"/>
    <x v="29"/>
    <x v="0"/>
    <m/>
    <m/>
    <m/>
    <n v="0"/>
    <e v="#DIV/0!"/>
    <m/>
    <m/>
    <m/>
    <n v="0"/>
    <m/>
    <e v="#DIV/0!"/>
  </r>
  <r>
    <x v="14"/>
    <n v="3804031"/>
    <x v="30"/>
    <x v="0"/>
    <m/>
    <m/>
    <m/>
    <n v="0"/>
    <e v="#DIV/0!"/>
    <m/>
    <m/>
    <m/>
    <n v="0"/>
    <m/>
    <e v="#DIV/0!"/>
  </r>
  <r>
    <x v="14"/>
    <n v="3804032"/>
    <x v="31"/>
    <x v="0"/>
    <m/>
    <m/>
    <m/>
    <n v="0"/>
    <e v="#DIV/0!"/>
    <m/>
    <m/>
    <m/>
    <n v="0"/>
    <m/>
    <e v="#DIV/0!"/>
  </r>
  <r>
    <x v="14"/>
    <n v="3804033"/>
    <x v="32"/>
    <x v="0"/>
    <m/>
    <m/>
    <m/>
    <n v="0"/>
    <e v="#DIV/0!"/>
    <m/>
    <m/>
    <m/>
    <n v="0"/>
    <m/>
    <e v="#DIV/0!"/>
  </r>
  <r>
    <x v="15"/>
    <n v="3804001"/>
    <x v="0"/>
    <x v="0"/>
    <m/>
    <m/>
    <m/>
    <n v="0"/>
    <e v="#DIV/0!"/>
    <m/>
    <m/>
    <m/>
    <n v="0"/>
    <m/>
    <e v="#DIV/0!"/>
  </r>
  <r>
    <x v="15"/>
    <n v="3804002"/>
    <x v="1"/>
    <x v="1"/>
    <m/>
    <m/>
    <m/>
    <n v="0"/>
    <e v="#DIV/0!"/>
    <m/>
    <m/>
    <m/>
    <n v="0"/>
    <m/>
    <e v="#DIV/0!"/>
  </r>
  <r>
    <x v="15"/>
    <n v="3804003"/>
    <x v="2"/>
    <x v="1"/>
    <m/>
    <m/>
    <m/>
    <n v="0"/>
    <e v="#DIV/0!"/>
    <m/>
    <m/>
    <m/>
    <n v="0"/>
    <m/>
    <e v="#DIV/0!"/>
  </r>
  <r>
    <x v="15"/>
    <n v="3804004"/>
    <x v="3"/>
    <x v="1"/>
    <m/>
    <m/>
    <m/>
    <n v="0"/>
    <e v="#DIV/0!"/>
    <m/>
    <m/>
    <m/>
    <n v="0"/>
    <m/>
    <e v="#DIV/0!"/>
  </r>
  <r>
    <x v="15"/>
    <n v="3804005"/>
    <x v="4"/>
    <x v="1"/>
    <m/>
    <m/>
    <m/>
    <n v="0"/>
    <e v="#DIV/0!"/>
    <m/>
    <m/>
    <m/>
    <n v="0"/>
    <m/>
    <e v="#DIV/0!"/>
  </r>
  <r>
    <x v="15"/>
    <n v="3804006"/>
    <x v="5"/>
    <x v="1"/>
    <m/>
    <m/>
    <m/>
    <n v="0"/>
    <e v="#DIV/0!"/>
    <m/>
    <m/>
    <m/>
    <n v="0"/>
    <m/>
    <e v="#DIV/0!"/>
  </r>
  <r>
    <x v="15"/>
    <n v="3804007"/>
    <x v="6"/>
    <x v="2"/>
    <m/>
    <m/>
    <m/>
    <n v="0"/>
    <e v="#DIV/0!"/>
    <m/>
    <m/>
    <m/>
    <n v="0"/>
    <m/>
    <e v="#DIV/0!"/>
  </r>
  <r>
    <x v="15"/>
    <n v="3804008"/>
    <x v="7"/>
    <x v="2"/>
    <m/>
    <m/>
    <m/>
    <n v="0"/>
    <e v="#DIV/0!"/>
    <m/>
    <m/>
    <m/>
    <n v="0"/>
    <m/>
    <e v="#DIV/0!"/>
  </r>
  <r>
    <x v="15"/>
    <n v="3804009"/>
    <x v="8"/>
    <x v="2"/>
    <m/>
    <m/>
    <m/>
    <n v="0"/>
    <e v="#DIV/0!"/>
    <m/>
    <m/>
    <m/>
    <n v="0"/>
    <m/>
    <e v="#DIV/0!"/>
  </r>
  <r>
    <x v="15"/>
    <n v="3804010"/>
    <x v="9"/>
    <x v="3"/>
    <m/>
    <m/>
    <m/>
    <n v="0"/>
    <e v="#DIV/0!"/>
    <m/>
    <m/>
    <m/>
    <n v="0"/>
    <m/>
    <e v="#DIV/0!"/>
  </r>
  <r>
    <x v="15"/>
    <n v="3804011"/>
    <x v="10"/>
    <x v="3"/>
    <m/>
    <m/>
    <m/>
    <n v="0"/>
    <e v="#DIV/0!"/>
    <m/>
    <m/>
    <m/>
    <n v="0"/>
    <m/>
    <e v="#DIV/0!"/>
  </r>
  <r>
    <x v="15"/>
    <n v="3804012"/>
    <x v="11"/>
    <x v="3"/>
    <m/>
    <m/>
    <m/>
    <n v="0"/>
    <e v="#DIV/0!"/>
    <m/>
    <m/>
    <m/>
    <n v="0"/>
    <m/>
    <e v="#DIV/0!"/>
  </r>
  <r>
    <x v="15"/>
    <n v="3804013"/>
    <x v="12"/>
    <x v="3"/>
    <m/>
    <m/>
    <m/>
    <n v="0"/>
    <e v="#DIV/0!"/>
    <m/>
    <m/>
    <m/>
    <n v="0"/>
    <m/>
    <e v="#DIV/0!"/>
  </r>
  <r>
    <x v="15"/>
    <n v="3804014"/>
    <x v="13"/>
    <x v="3"/>
    <m/>
    <m/>
    <m/>
    <n v="0"/>
    <e v="#DIV/0!"/>
    <m/>
    <m/>
    <m/>
    <n v="0"/>
    <m/>
    <e v="#DIV/0!"/>
  </r>
  <r>
    <x v="15"/>
    <n v="3804015"/>
    <x v="14"/>
    <x v="4"/>
    <m/>
    <m/>
    <m/>
    <n v="0"/>
    <e v="#DIV/0!"/>
    <m/>
    <m/>
    <m/>
    <n v="0"/>
    <m/>
    <e v="#DIV/0!"/>
  </r>
  <r>
    <x v="15"/>
    <n v="3804016"/>
    <x v="15"/>
    <x v="5"/>
    <m/>
    <m/>
    <m/>
    <n v="0"/>
    <e v="#DIV/0!"/>
    <m/>
    <m/>
    <m/>
    <n v="0"/>
    <m/>
    <e v="#DIV/0!"/>
  </r>
  <r>
    <x v="15"/>
    <n v="3804017"/>
    <x v="16"/>
    <x v="5"/>
    <m/>
    <m/>
    <m/>
    <n v="0"/>
    <e v="#DIV/0!"/>
    <m/>
    <m/>
    <m/>
    <n v="0"/>
    <m/>
    <e v="#DIV/0!"/>
  </r>
  <r>
    <x v="15"/>
    <n v="3804018"/>
    <x v="17"/>
    <x v="4"/>
    <m/>
    <m/>
    <m/>
    <n v="0"/>
    <e v="#DIV/0!"/>
    <m/>
    <m/>
    <m/>
    <n v="0"/>
    <m/>
    <e v="#DIV/0!"/>
  </r>
  <r>
    <x v="15"/>
    <n v="3804019"/>
    <x v="18"/>
    <x v="4"/>
    <m/>
    <m/>
    <m/>
    <n v="0"/>
    <e v="#DIV/0!"/>
    <m/>
    <m/>
    <m/>
    <n v="0"/>
    <m/>
    <e v="#DIV/0!"/>
  </r>
  <r>
    <x v="15"/>
    <n v="3804020"/>
    <x v="19"/>
    <x v="5"/>
    <m/>
    <m/>
    <m/>
    <n v="0"/>
    <e v="#DIV/0!"/>
    <m/>
    <m/>
    <m/>
    <n v="0"/>
    <m/>
    <e v="#DIV/0!"/>
  </r>
  <r>
    <x v="15"/>
    <n v="3804021"/>
    <x v="20"/>
    <x v="5"/>
    <m/>
    <m/>
    <m/>
    <n v="0"/>
    <e v="#DIV/0!"/>
    <m/>
    <m/>
    <m/>
    <n v="0"/>
    <m/>
    <e v="#DIV/0!"/>
  </r>
  <r>
    <x v="15"/>
    <n v="3804022"/>
    <x v="21"/>
    <x v="5"/>
    <m/>
    <m/>
    <m/>
    <n v="0"/>
    <e v="#DIV/0!"/>
    <m/>
    <m/>
    <m/>
    <n v="0"/>
    <m/>
    <e v="#DIV/0!"/>
  </r>
  <r>
    <x v="15"/>
    <n v="3804023"/>
    <x v="22"/>
    <x v="5"/>
    <m/>
    <m/>
    <m/>
    <n v="0"/>
    <e v="#DIV/0!"/>
    <m/>
    <m/>
    <m/>
    <n v="0"/>
    <m/>
    <e v="#DIV/0!"/>
  </r>
  <r>
    <x v="15"/>
    <n v="3804024"/>
    <x v="23"/>
    <x v="4"/>
    <m/>
    <m/>
    <m/>
    <n v="0"/>
    <e v="#DIV/0!"/>
    <m/>
    <m/>
    <m/>
    <n v="0"/>
    <m/>
    <e v="#DIV/0!"/>
  </r>
  <r>
    <x v="15"/>
    <n v="3804025"/>
    <x v="24"/>
    <x v="4"/>
    <m/>
    <m/>
    <m/>
    <n v="0"/>
    <e v="#DIV/0!"/>
    <m/>
    <m/>
    <m/>
    <n v="0"/>
    <m/>
    <e v="#DIV/0!"/>
  </r>
  <r>
    <x v="15"/>
    <n v="3804026"/>
    <x v="25"/>
    <x v="7"/>
    <m/>
    <m/>
    <m/>
    <n v="0"/>
    <e v="#DIV/0!"/>
    <m/>
    <m/>
    <m/>
    <n v="0"/>
    <m/>
    <e v="#DIV/0!"/>
  </r>
  <r>
    <x v="15"/>
    <n v="3804027"/>
    <x v="26"/>
    <x v="1"/>
    <m/>
    <m/>
    <m/>
    <n v="0"/>
    <e v="#DIV/0!"/>
    <m/>
    <m/>
    <m/>
    <n v="0"/>
    <m/>
    <e v="#DIV/0!"/>
  </r>
  <r>
    <x v="15"/>
    <n v="3804028"/>
    <x v="27"/>
    <x v="1"/>
    <m/>
    <m/>
    <m/>
    <n v="0"/>
    <e v="#DIV/0!"/>
    <m/>
    <m/>
    <m/>
    <n v="0"/>
    <m/>
    <e v="#DIV/0!"/>
  </r>
  <r>
    <x v="15"/>
    <n v="3804029"/>
    <x v="28"/>
    <x v="7"/>
    <m/>
    <m/>
    <m/>
    <n v="0"/>
    <e v="#DIV/0!"/>
    <m/>
    <m/>
    <m/>
    <n v="0"/>
    <m/>
    <e v="#DIV/0!"/>
  </r>
  <r>
    <x v="15"/>
    <n v="3804030"/>
    <x v="29"/>
    <x v="0"/>
    <m/>
    <m/>
    <m/>
    <n v="0"/>
    <e v="#DIV/0!"/>
    <m/>
    <m/>
    <m/>
    <n v="0"/>
    <m/>
    <e v="#DIV/0!"/>
  </r>
  <r>
    <x v="15"/>
    <n v="3804031"/>
    <x v="30"/>
    <x v="0"/>
    <m/>
    <m/>
    <m/>
    <n v="0"/>
    <e v="#DIV/0!"/>
    <m/>
    <m/>
    <m/>
    <n v="0"/>
    <m/>
    <e v="#DIV/0!"/>
  </r>
  <r>
    <x v="15"/>
    <n v="3804032"/>
    <x v="31"/>
    <x v="0"/>
    <m/>
    <m/>
    <m/>
    <n v="0"/>
    <e v="#DIV/0!"/>
    <m/>
    <m/>
    <m/>
    <n v="0"/>
    <m/>
    <e v="#DIV/0!"/>
  </r>
  <r>
    <x v="15"/>
    <n v="3804033"/>
    <x v="32"/>
    <x v="0"/>
    <m/>
    <m/>
    <m/>
    <n v="0"/>
    <e v="#DIV/0!"/>
    <m/>
    <m/>
    <m/>
    <n v="0"/>
    <m/>
    <e v="#DIV/0!"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  <r>
    <x v="16"/>
    <m/>
    <x v="33"/>
    <x v="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:C21" firstHeaderRow="1" firstDataRow="2" firstDataCol="1"/>
  <pivotFields count="15">
    <pivotField axis="axisRow" showAll="0">
      <items count="3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1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Col" showAll="0">
      <items count="35">
        <item h="1" x="18"/>
        <item h="1" x="6"/>
        <item h="1" x="3"/>
        <item h="1" x="23"/>
        <item h="1" x="31"/>
        <item h="1" x="5"/>
        <item h="1" x="32"/>
        <item h="1" x="12"/>
        <item h="1" x="27"/>
        <item h="1" x="4"/>
        <item h="1" x="26"/>
        <item h="1" x="0"/>
        <item h="1" x="28"/>
        <item h="1" x="10"/>
        <item h="1" x="13"/>
        <item h="1" x="2"/>
        <item h="1" x="7"/>
        <item h="1" x="14"/>
        <item h="1" x="22"/>
        <item h="1" x="17"/>
        <item h="1" x="20"/>
        <item h="1" x="15"/>
        <item h="1" x="11"/>
        <item h="1" x="25"/>
        <item h="1" x="1"/>
        <item h="1" x="8"/>
        <item h="1" x="16"/>
        <item h="1" x="21"/>
        <item h="1" x="24"/>
        <item h="1" x="9"/>
        <item h="1" x="19"/>
        <item h="1" x="29"/>
        <item x="30"/>
        <item h="1" x="33"/>
        <item t="default"/>
      </items>
    </pivotField>
    <pivotField showAll="0"/>
    <pivotField dataField="1" numFmtId="164" showAll="0"/>
    <pivotField showAll="0"/>
    <pivotField numFmtId="164" showAll="0"/>
    <pivotField numFmtId="164" showAll="0"/>
    <pivotField numFmtId="10" showAll="0"/>
    <pivotField numFmtId="164" showAll="0"/>
    <pivotField numFmtId="164" showAll="0"/>
    <pivotField showAll="0"/>
    <pivotField numFmtId="164" showAll="0"/>
    <pivotField numFmtId="164" showAll="0"/>
    <pivotField numFmtId="10" showAll="0"/>
  </pivotFields>
  <rowFields count="1">
    <field x="0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2">
    <i>
      <x v="32"/>
    </i>
    <i t="grand">
      <x/>
    </i>
  </colItems>
  <dataFields count="1">
    <dataField name="Sum of Sum of Gross_x000a_ Sales" fld="4" baseField="0" baseItem="0" numFmtId="164"/>
  </dataFields>
  <formats count="1">
    <format dxfId="22">
      <pivotArea outline="0" collapsedLevelsAreSubtotals="1" fieldPosition="0"/>
    </format>
  </formats>
  <chartFormats count="33"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23:C41" firstHeaderRow="1" firstDataRow="2" firstDataCol="1"/>
  <pivotFields count="15">
    <pivotField axis="axisRow" showAll="0">
      <items count="33"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1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Col" showAll="0">
      <items count="11">
        <item h="1" x="1"/>
        <item h="1" m="1" x="9"/>
        <item h="1" x="5"/>
        <item x="3"/>
        <item h="1" x="6"/>
        <item h="1" x="4"/>
        <item h="1" x="8"/>
        <item h="1" x="2"/>
        <item h="1" x="7"/>
        <item h="1" x="0"/>
        <item t="default"/>
      </items>
    </pivotField>
    <pivotField dataField="1" numFmtId="164" showAll="0"/>
    <pivotField showAll="0"/>
    <pivotField numFmtId="164" showAll="0"/>
    <pivotField numFmtId="164" showAll="0"/>
    <pivotField numFmtId="10" showAll="0"/>
    <pivotField numFmtId="164" showAll="0"/>
    <pivotField numFmtId="164" showAll="0"/>
    <pivotField showAll="0"/>
    <pivotField numFmtId="164" showAll="0"/>
    <pivotField numFmtId="164" showAll="0"/>
    <pivotField numFmtId="10" showAll="0"/>
  </pivotFields>
  <rowFields count="1">
    <field x="0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2">
    <i>
      <x v="3"/>
    </i>
    <i t="grand">
      <x/>
    </i>
  </colItems>
  <dataFields count="1">
    <dataField name="Sum of Sum of Gross_x000a_ Sales" fld="4" baseField="0" baseItem="0" numFmtId="164"/>
  </dataFields>
  <formats count="1">
    <format dxfId="23">
      <pivotArea outline="0" collapsedLevelsAreSubtotals="1" fieldPosition="0"/>
    </format>
  </formats>
  <chartFormats count="6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24" displayName="Table24" ref="A1:V1001" totalsRowCount="1" headerRowDxfId="51" dataDxfId="49" totalsRowDxfId="47" headerRowBorderDxfId="50" tableBorderDxfId="48" totalsRowBorderDxfId="46" dataCellStyle="Comma">
  <autoFilter ref="A1:V1000" xr:uid="{00000000-0009-0000-0100-000003000000}"/>
  <tableColumns count="22">
    <tableColumn id="28" xr3:uid="{00000000-0010-0000-0000-00001C000000}" name="Sr" dataDxfId="45" totalsRowDxfId="21"/>
    <tableColumn id="24" xr3:uid="{00000000-0010-0000-0000-000018000000}" name="WeekPeriod" dataDxfId="44" totalsRowDxfId="20"/>
    <tableColumn id="31" xr3:uid="{00000000-0010-0000-0000-00001F000000}" name="Period" dataDxfId="43" totalsRowDxfId="19"/>
    <tableColumn id="2" xr3:uid="{00000000-0010-0000-0000-000002000000}" name="Week" dataDxfId="42" totalsRowDxfId="18"/>
    <tableColumn id="3" xr3:uid="{00000000-0010-0000-0000-000003000000}" name="StoreNumber" dataDxfId="41" totalsRowDxfId="17"/>
    <tableColumn id="4" xr3:uid="{00000000-0010-0000-0000-000004000000}" name="StoreName" dataDxfId="40" totalsRowDxfId="16"/>
    <tableColumn id="5" xr3:uid="{00000000-0010-0000-0000-000005000000}" name="ARL" dataDxfId="39" totalsRowDxfId="15"/>
    <tableColumn id="13" xr3:uid="{00000000-0010-0000-0000-00000D000000}" name="ReportingHead" dataDxfId="38" totalsRowDxfId="14"/>
    <tableColumn id="6" xr3:uid="{00000000-0010-0000-0000-000006000000}" name="Sales2025" totalsRowFunction="sum" dataDxfId="37" totalsRowDxfId="13" dataCellStyle="Comma"/>
    <tableColumn id="30" xr3:uid="{00000000-0010-0000-0000-00001E000000}" name="Sales2024" totalsRowFunction="sum" dataDxfId="36" totalsRowDxfId="12" dataCellStyle="Comma">
      <calculatedColumnFormula>+VLOOKUP(Table24[[#This Row],[StoreNumber]],#REF!,5,FALSE)</calculatedColumnFormula>
    </tableColumn>
    <tableColumn id="29" xr3:uid="{00000000-0010-0000-0000-00001D000000}" name="CustomerCount2025" dataDxfId="35" totalsRowDxfId="11" dataCellStyle="Comma"/>
    <tableColumn id="32" xr3:uid="{00000000-0010-0000-0000-000020000000}" name="CustomerCount2024" dataDxfId="34" totalsRowDxfId="10" dataCellStyle="Comma"/>
    <tableColumn id="7" xr3:uid="{00000000-0010-0000-0000-000007000000}" name="FoodcostBlueline" totalsRowFunction="sum" dataDxfId="33" totalsRowDxfId="9" dataCellStyle="Comma"/>
    <tableColumn id="8" xr3:uid="{00000000-0010-0000-0000-000008000000}" name="Pepsico" totalsRowFunction="sum" dataDxfId="32" totalsRowDxfId="8" dataCellStyle="Comma"/>
    <tableColumn id="9" xr3:uid="{00000000-0010-0000-0000-000009000000}" name="TotalFoodCost" totalsRowFunction="sum" dataDxfId="31" totalsRowDxfId="7" dataCellStyle="Comma">
      <calculatedColumnFormula>+Table24[[#This Row],[FoodcostBlueline]]+Table24[[#This Row],[Pepsico]]</calculatedColumnFormula>
    </tableColumn>
    <tableColumn id="10" xr3:uid="{00000000-0010-0000-0000-00000A000000}" name="FoodCostPercent" totalsRowFunction="custom" dataDxfId="30" totalsRowDxfId="6" dataCellStyle="Comma">
      <calculatedColumnFormula>IFERROR(((M2+N2)/I2),0)</calculatedColumnFormula>
      <totalsRowFormula>IFERROR(((M1001+N1001)/I1001),0)</totalsRowFormula>
    </tableColumn>
    <tableColumn id="11" xr3:uid="{00000000-0010-0000-0000-00000B000000}" name="FourWeekFoodCost" dataDxfId="29" totalsRowDxfId="5" dataCellStyle="Comma"/>
    <tableColumn id="14" xr3:uid="{00000000-0010-0000-0000-00000E000000}" name="Wages" totalsRowFunction="sum" dataDxfId="28" totalsRowDxfId="4" dataCellStyle="Comma"/>
    <tableColumn id="15" xr3:uid="{00000000-0010-0000-0000-00000F000000}" name="WagesPercent" totalsRowFunction="custom" dataDxfId="27" totalsRowDxfId="3">
      <calculatedColumnFormula>+R2/I2</calculatedColumnFormula>
      <totalsRowFormula>+Table24[[#Totals],[Wages]]/Table24[[#Totals],[Sales2025]]*100</totalsRowFormula>
    </tableColumn>
    <tableColumn id="12" xr3:uid="{00000000-0010-0000-0000-00000C000000}" name="FourWeekWageCost" dataDxfId="26" totalsRowDxfId="2"/>
    <tableColumn id="18" xr3:uid="{00000000-0010-0000-0000-000012000000}" name="FoodAndLaborPercent" totalsRowFunction="custom" dataDxfId="25" totalsRowDxfId="1" dataCellStyle="Comma">
      <calculatedColumnFormula>Table24[[#This Row],[WagesPercent]]+Table24[[#This Row],[FoodCostPercent]]</calculatedColumnFormula>
      <totalsRowFormula>Table24[[#This Row],[WagesPercent]]+Table24[[#This Row],[FoodCostPercent]]</totalsRowFormula>
    </tableColumn>
    <tableColumn id="21" xr3:uid="{00000000-0010-0000-0000-000015000000}" name="FourWeekAverageFoodAndLabor" dataDxfId="2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1"/>
  <sheetViews>
    <sheetView tabSelected="1" workbookViewId="0">
      <pane xSplit="5" ySplit="1" topLeftCell="F673" activePane="bottomRight" state="frozen"/>
      <selection pane="topRight"/>
      <selection pane="bottomLeft"/>
      <selection pane="bottomRight" activeCell="E1" sqref="E1"/>
    </sheetView>
  </sheetViews>
  <sheetFormatPr defaultRowHeight="15" x14ac:dyDescent="0.25"/>
  <cols>
    <col min="1" max="1" width="7.28515625" style="4" customWidth="1"/>
    <col min="2" max="2" width="14.5703125" style="4" bestFit="1" customWidth="1"/>
    <col min="3" max="3" width="14.5703125" style="4" customWidth="1"/>
    <col min="4" max="4" width="12.28515625" style="4" customWidth="1"/>
    <col min="5" max="5" width="18.85546875" style="4" customWidth="1"/>
    <col min="6" max="6" width="24.42578125" style="4" bestFit="1" customWidth="1"/>
    <col min="7" max="7" width="13.5703125" style="4" bestFit="1" customWidth="1"/>
    <col min="8" max="8" width="17.42578125" style="4" bestFit="1" customWidth="1"/>
    <col min="9" max="9" width="15" style="44" customWidth="1"/>
    <col min="10" max="10" width="15" style="4" customWidth="1"/>
    <col min="11" max="11" width="12.5703125" style="4" bestFit="1" customWidth="1"/>
    <col min="12" max="12" width="12.5703125" style="4" customWidth="1"/>
    <col min="13" max="13" width="15.7109375" style="4" customWidth="1"/>
    <col min="14" max="14" width="14.85546875" style="4" bestFit="1" customWidth="1"/>
    <col min="15" max="15" width="14.5703125" style="4" bestFit="1" customWidth="1"/>
    <col min="16" max="17" width="11.5703125" style="4" customWidth="1"/>
    <col min="18" max="18" width="14.85546875" style="42" bestFit="1" customWidth="1"/>
    <col min="19" max="19" width="10.5703125" style="4" bestFit="1" customWidth="1"/>
    <col min="20" max="20" width="9.85546875" style="4" customWidth="1"/>
    <col min="21" max="21" width="18.140625" style="4" bestFit="1" customWidth="1"/>
    <col min="22" max="22" width="16" style="4" customWidth="1"/>
    <col min="23" max="24" width="14.28515625" style="4" bestFit="1" customWidth="1"/>
    <col min="25" max="25" width="11.42578125" style="4" bestFit="1" customWidth="1"/>
    <col min="26" max="26" width="13.7109375" style="4" bestFit="1" customWidth="1"/>
    <col min="27" max="27" width="11.140625" style="4" bestFit="1" customWidth="1"/>
    <col min="28" max="28" width="13.28515625" style="4" bestFit="1" customWidth="1"/>
    <col min="29" max="29" width="9.140625" style="4"/>
    <col min="30" max="36" width="8.7109375" style="4" bestFit="1" customWidth="1"/>
    <col min="37" max="37" width="11.7109375" style="4" bestFit="1" customWidth="1"/>
    <col min="38" max="16384" width="9.140625" style="4"/>
  </cols>
  <sheetData>
    <row r="1" spans="1:24" s="8" customFormat="1" ht="45" x14ac:dyDescent="0.25">
      <c r="A1" s="13" t="s">
        <v>0</v>
      </c>
      <c r="B1" s="9" t="s">
        <v>133</v>
      </c>
      <c r="C1" s="9" t="s">
        <v>75</v>
      </c>
      <c r="D1" s="9" t="s">
        <v>149</v>
      </c>
      <c r="E1" s="9" t="s">
        <v>134</v>
      </c>
      <c r="F1" s="9" t="s">
        <v>135</v>
      </c>
      <c r="G1" s="9" t="s">
        <v>1</v>
      </c>
      <c r="H1" s="9" t="s">
        <v>136</v>
      </c>
      <c r="I1" s="19" t="s">
        <v>137</v>
      </c>
      <c r="J1" s="10" t="s">
        <v>138</v>
      </c>
      <c r="K1" s="10" t="s">
        <v>139</v>
      </c>
      <c r="L1" s="10" t="s">
        <v>140</v>
      </c>
      <c r="M1" s="10" t="s">
        <v>141</v>
      </c>
      <c r="N1" s="10" t="s">
        <v>2</v>
      </c>
      <c r="O1" s="10" t="s">
        <v>142</v>
      </c>
      <c r="P1" s="11" t="s">
        <v>143</v>
      </c>
      <c r="Q1" s="11" t="s">
        <v>144</v>
      </c>
      <c r="R1" s="9" t="s">
        <v>3</v>
      </c>
      <c r="S1" s="10" t="s">
        <v>145</v>
      </c>
      <c r="T1" s="10" t="s">
        <v>146</v>
      </c>
      <c r="U1" s="10" t="s">
        <v>147</v>
      </c>
      <c r="V1" s="10" t="s">
        <v>148</v>
      </c>
      <c r="W1" s="4"/>
      <c r="X1" s="4"/>
    </row>
    <row r="2" spans="1:24" x14ac:dyDescent="0.25">
      <c r="A2" s="20">
        <v>1</v>
      </c>
      <c r="B2" s="21" t="s">
        <v>76</v>
      </c>
      <c r="C2" s="21" t="s">
        <v>77</v>
      </c>
      <c r="D2" s="6" t="s">
        <v>78</v>
      </c>
      <c r="E2" s="22">
        <v>3804001</v>
      </c>
      <c r="F2" s="22" t="s">
        <v>4</v>
      </c>
      <c r="G2" s="22" t="s">
        <v>5</v>
      </c>
      <c r="H2" s="5" t="s">
        <v>40</v>
      </c>
      <c r="I2" s="23">
        <f>28173.32-11.99</f>
        <v>28161.329999999998</v>
      </c>
      <c r="J2" s="23">
        <v>24133.99</v>
      </c>
      <c r="K2" s="23">
        <v>1796</v>
      </c>
      <c r="L2" s="23"/>
      <c r="M2" s="23">
        <f>7009.32-97.14-57.55+1623</f>
        <v>8477.6299999999992</v>
      </c>
      <c r="N2" s="23">
        <v>524.33000000000004</v>
      </c>
      <c r="O2" s="23">
        <f>+Table24[[#This Row],[FoodcostBlueline]]+Table24[[#This Row],[Pepsico]]</f>
        <v>9001.9599999999991</v>
      </c>
      <c r="P2" s="24">
        <f t="shared" ref="P2:P65" si="0">IFERROR(((M2+N2)/I2),0)</f>
        <v>0.31965677757407052</v>
      </c>
      <c r="Q2" s="24"/>
      <c r="R2" s="23">
        <f>3615.07+1440+165.58</f>
        <v>5220.6499999999996</v>
      </c>
      <c r="S2" s="25">
        <f t="shared" ref="S2:S65" si="1">+R2/I2</f>
        <v>0.18538364487756792</v>
      </c>
      <c r="T2" s="25"/>
      <c r="U2" s="26">
        <f>Table24[[#This Row],[WagesPercent]]+Table24[[#This Row],[FoodCostPercent]]</f>
        <v>0.50504042245163849</v>
      </c>
      <c r="V2" s="26"/>
    </row>
    <row r="3" spans="1:24" x14ac:dyDescent="0.25">
      <c r="A3" s="20">
        <v>2</v>
      </c>
      <c r="B3" s="21" t="s">
        <v>76</v>
      </c>
      <c r="C3" s="21" t="s">
        <v>77</v>
      </c>
      <c r="D3" s="6" t="s">
        <v>78</v>
      </c>
      <c r="E3" s="6">
        <v>3804002</v>
      </c>
      <c r="F3" s="6" t="s">
        <v>6</v>
      </c>
      <c r="G3" s="6" t="s">
        <v>7</v>
      </c>
      <c r="H3" s="5" t="s">
        <v>41</v>
      </c>
      <c r="I3" s="23">
        <f>12125.41-78.19</f>
        <v>12047.22</v>
      </c>
      <c r="J3" s="23">
        <v>11945.56</v>
      </c>
      <c r="K3" s="23">
        <v>959</v>
      </c>
      <c r="L3" s="23"/>
      <c r="M3" s="23">
        <f>3325.08+171.05</f>
        <v>3496.13</v>
      </c>
      <c r="N3" s="23">
        <f>460.74-605.05</f>
        <v>-144.30999999999995</v>
      </c>
      <c r="O3" s="23">
        <f>+Table24[[#This Row],[FoodcostBlueline]]+Table24[[#This Row],[Pepsico]]</f>
        <v>3351.82</v>
      </c>
      <c r="P3" s="24">
        <f t="shared" si="0"/>
        <v>0.27822352376730902</v>
      </c>
      <c r="Q3" s="24"/>
      <c r="R3" s="23">
        <v>3369.09</v>
      </c>
      <c r="S3" s="25">
        <f t="shared" si="1"/>
        <v>0.2796570495101775</v>
      </c>
      <c r="T3" s="25"/>
      <c r="U3" s="26">
        <f>Table24[[#This Row],[WagesPercent]]+Table24[[#This Row],[FoodCostPercent]]</f>
        <v>0.55788057327748652</v>
      </c>
      <c r="V3" s="26"/>
    </row>
    <row r="4" spans="1:24" x14ac:dyDescent="0.25">
      <c r="A4" s="20">
        <v>3</v>
      </c>
      <c r="B4" s="21" t="s">
        <v>76</v>
      </c>
      <c r="C4" s="21" t="s">
        <v>77</v>
      </c>
      <c r="D4" s="6" t="s">
        <v>78</v>
      </c>
      <c r="E4" s="22">
        <v>3804003</v>
      </c>
      <c r="F4" s="22" t="s">
        <v>8</v>
      </c>
      <c r="G4" s="22" t="s">
        <v>7</v>
      </c>
      <c r="H4" s="5" t="s">
        <v>41</v>
      </c>
      <c r="I4" s="23">
        <v>12697.5</v>
      </c>
      <c r="J4" s="23">
        <v>2240.6799999999998</v>
      </c>
      <c r="K4" s="23">
        <v>764</v>
      </c>
      <c r="L4" s="23"/>
      <c r="M4" s="23">
        <v>3219.47</v>
      </c>
      <c r="N4" s="23">
        <v>0</v>
      </c>
      <c r="O4" s="23">
        <f>+Table24[[#This Row],[FoodcostBlueline]]+Table24[[#This Row],[Pepsico]]</f>
        <v>3219.47</v>
      </c>
      <c r="P4" s="24">
        <f t="shared" si="0"/>
        <v>0.25355148651309312</v>
      </c>
      <c r="Q4" s="24"/>
      <c r="R4" s="23">
        <v>2772.96</v>
      </c>
      <c r="S4" s="25">
        <f t="shared" si="1"/>
        <v>0.21838629651506203</v>
      </c>
      <c r="T4" s="25"/>
      <c r="U4" s="26">
        <f>Table24[[#This Row],[WagesPercent]]+Table24[[#This Row],[FoodCostPercent]]</f>
        <v>0.47193778302815514</v>
      </c>
      <c r="V4" s="26"/>
    </row>
    <row r="5" spans="1:24" x14ac:dyDescent="0.25">
      <c r="A5" s="20">
        <v>4</v>
      </c>
      <c r="B5" s="21" t="s">
        <v>76</v>
      </c>
      <c r="C5" s="21" t="s">
        <v>77</v>
      </c>
      <c r="D5" s="6" t="s">
        <v>78</v>
      </c>
      <c r="E5" s="22">
        <v>3804004</v>
      </c>
      <c r="F5" s="6" t="s">
        <v>9</v>
      </c>
      <c r="G5" s="6" t="s">
        <v>7</v>
      </c>
      <c r="H5" s="5" t="s">
        <v>41</v>
      </c>
      <c r="I5" s="23">
        <f>17246.73</f>
        <v>17246.73</v>
      </c>
      <c r="J5" s="23">
        <v>14517.8</v>
      </c>
      <c r="K5" s="23">
        <v>1141</v>
      </c>
      <c r="L5" s="23"/>
      <c r="M5" s="23">
        <v>4291.45</v>
      </c>
      <c r="N5" s="23">
        <v>797.85</v>
      </c>
      <c r="O5" s="23">
        <f>+Table24[[#This Row],[FoodcostBlueline]]+Table24[[#This Row],[Pepsico]]</f>
        <v>5089.3</v>
      </c>
      <c r="P5" s="24">
        <f t="shared" si="0"/>
        <v>0.29508782244518239</v>
      </c>
      <c r="Q5" s="24"/>
      <c r="R5" s="23">
        <v>3911.63</v>
      </c>
      <c r="S5" s="25">
        <f t="shared" si="1"/>
        <v>0.2268041535989721</v>
      </c>
      <c r="T5" s="25"/>
      <c r="U5" s="26">
        <f>Table24[[#This Row],[WagesPercent]]+Table24[[#This Row],[FoodCostPercent]]</f>
        <v>0.52189197604415449</v>
      </c>
      <c r="V5" s="26"/>
    </row>
    <row r="6" spans="1:24" x14ac:dyDescent="0.25">
      <c r="A6" s="20">
        <v>5</v>
      </c>
      <c r="B6" s="21" t="s">
        <v>76</v>
      </c>
      <c r="C6" s="21" t="s">
        <v>77</v>
      </c>
      <c r="D6" s="6" t="s">
        <v>78</v>
      </c>
      <c r="E6" s="6">
        <v>3804005</v>
      </c>
      <c r="F6" s="22" t="s">
        <v>10</v>
      </c>
      <c r="G6" s="22" t="s">
        <v>7</v>
      </c>
      <c r="H6" s="5" t="s">
        <v>41</v>
      </c>
      <c r="I6" s="23">
        <v>12595.07</v>
      </c>
      <c r="J6" s="23">
        <v>12383.56</v>
      </c>
      <c r="K6" s="23">
        <v>825</v>
      </c>
      <c r="L6" s="23"/>
      <c r="M6" s="23">
        <v>3466.18</v>
      </c>
      <c r="N6" s="23">
        <v>774.66</v>
      </c>
      <c r="O6" s="23">
        <f>+Table24[[#This Row],[FoodcostBlueline]]+Table24[[#This Row],[Pepsico]]</f>
        <v>4240.84</v>
      </c>
      <c r="P6" s="24">
        <f t="shared" si="0"/>
        <v>0.33670634621324058</v>
      </c>
      <c r="Q6" s="24"/>
      <c r="R6" s="23">
        <v>3576.47</v>
      </c>
      <c r="S6" s="25">
        <f t="shared" si="1"/>
        <v>0.28395792957085592</v>
      </c>
      <c r="T6" s="25"/>
      <c r="U6" s="26">
        <f>Table24[[#This Row],[WagesPercent]]+Table24[[#This Row],[FoodCostPercent]]</f>
        <v>0.62066427578409655</v>
      </c>
      <c r="V6" s="26"/>
    </row>
    <row r="7" spans="1:24" x14ac:dyDescent="0.25">
      <c r="A7" s="20">
        <v>6</v>
      </c>
      <c r="B7" s="21" t="s">
        <v>76</v>
      </c>
      <c r="C7" s="21" t="s">
        <v>77</v>
      </c>
      <c r="D7" s="6" t="s">
        <v>78</v>
      </c>
      <c r="E7" s="22">
        <v>3804006</v>
      </c>
      <c r="F7" s="6" t="s">
        <v>11</v>
      </c>
      <c r="G7" s="6" t="s">
        <v>7</v>
      </c>
      <c r="H7" s="5" t="s">
        <v>41</v>
      </c>
      <c r="I7" s="23">
        <f>0.002+9628.13</f>
        <v>9628.1319999999996</v>
      </c>
      <c r="J7" s="23">
        <v>10158.93</v>
      </c>
      <c r="K7" s="23">
        <v>698</v>
      </c>
      <c r="L7" s="23"/>
      <c r="M7" s="23">
        <v>2193.52</v>
      </c>
      <c r="N7" s="23">
        <v>660.59</v>
      </c>
      <c r="O7" s="23">
        <f>+Table24[[#This Row],[FoodcostBlueline]]+Table24[[#This Row],[Pepsico]]</f>
        <v>2854.11</v>
      </c>
      <c r="P7" s="24">
        <f t="shared" si="0"/>
        <v>0.29643444855139089</v>
      </c>
      <c r="Q7" s="24"/>
      <c r="R7" s="23">
        <v>2887.03</v>
      </c>
      <c r="S7" s="25">
        <f t="shared" si="1"/>
        <v>0.29985359569229009</v>
      </c>
      <c r="T7" s="25"/>
      <c r="U7" s="26">
        <f>Table24[[#This Row],[WagesPercent]]+Table24[[#This Row],[FoodCostPercent]]</f>
        <v>0.59628804424368098</v>
      </c>
      <c r="V7" s="26"/>
    </row>
    <row r="8" spans="1:24" x14ac:dyDescent="0.25">
      <c r="A8" s="20">
        <v>7</v>
      </c>
      <c r="B8" s="21" t="s">
        <v>76</v>
      </c>
      <c r="C8" s="21" t="s">
        <v>77</v>
      </c>
      <c r="D8" s="6" t="s">
        <v>78</v>
      </c>
      <c r="E8" s="22">
        <v>3804008</v>
      </c>
      <c r="F8" s="22" t="s">
        <v>12</v>
      </c>
      <c r="G8" s="5" t="s">
        <v>42</v>
      </c>
      <c r="H8" s="5" t="s">
        <v>41</v>
      </c>
      <c r="I8" s="23">
        <v>23614.9</v>
      </c>
      <c r="J8" s="23">
        <v>17843.43</v>
      </c>
      <c r="K8" s="23">
        <v>1399</v>
      </c>
      <c r="L8" s="23"/>
      <c r="M8" s="23">
        <v>5762.55</v>
      </c>
      <c r="N8" s="23">
        <v>0</v>
      </c>
      <c r="O8" s="23">
        <f>+Table24[[#This Row],[FoodcostBlueline]]+Table24[[#This Row],[Pepsico]]</f>
        <v>5762.55</v>
      </c>
      <c r="P8" s="24">
        <f t="shared" si="0"/>
        <v>0.24402178285743323</v>
      </c>
      <c r="Q8" s="24"/>
      <c r="R8" s="23">
        <f>4461.52-3421+3868</f>
        <v>4908.5200000000004</v>
      </c>
      <c r="S8" s="25">
        <f t="shared" si="1"/>
        <v>0.20785690390389119</v>
      </c>
      <c r="T8" s="25"/>
      <c r="U8" s="26">
        <f>Table24[[#This Row],[WagesPercent]]+Table24[[#This Row],[FoodCostPercent]]</f>
        <v>0.45187868676132442</v>
      </c>
      <c r="V8" s="26"/>
    </row>
    <row r="9" spans="1:24" x14ac:dyDescent="0.25">
      <c r="A9" s="20">
        <v>8</v>
      </c>
      <c r="B9" s="21" t="s">
        <v>76</v>
      </c>
      <c r="C9" s="21" t="s">
        <v>77</v>
      </c>
      <c r="D9" s="6" t="s">
        <v>78</v>
      </c>
      <c r="E9" s="22">
        <v>3804009</v>
      </c>
      <c r="F9" s="6" t="s">
        <v>13</v>
      </c>
      <c r="G9" s="5" t="s">
        <v>42</v>
      </c>
      <c r="H9" s="5" t="s">
        <v>41</v>
      </c>
      <c r="I9" s="48">
        <v>15596.82</v>
      </c>
      <c r="J9" s="48">
        <v>11383.67</v>
      </c>
      <c r="K9" s="23">
        <v>860</v>
      </c>
      <c r="L9" s="23"/>
      <c r="M9" s="23">
        <f>3572.64-12.35</f>
        <v>3560.29</v>
      </c>
      <c r="N9" s="23">
        <v>0</v>
      </c>
      <c r="O9" s="23">
        <f>+Table24[[#This Row],[FoodcostBlueline]]+Table24[[#This Row],[Pepsico]]</f>
        <v>3560.29</v>
      </c>
      <c r="P9" s="24">
        <f t="shared" si="0"/>
        <v>0.22827024996121004</v>
      </c>
      <c r="Q9" s="24"/>
      <c r="R9" s="23">
        <f>127+4052.08</f>
        <v>4179.08</v>
      </c>
      <c r="S9" s="25">
        <f t="shared" si="1"/>
        <v>0.2679443630175895</v>
      </c>
      <c r="T9" s="25"/>
      <c r="U9" s="26">
        <f>Table24[[#This Row],[WagesPercent]]+Table24[[#This Row],[FoodCostPercent]]</f>
        <v>0.49621461297879954</v>
      </c>
      <c r="V9" s="26"/>
    </row>
    <row r="10" spans="1:24" x14ac:dyDescent="0.25">
      <c r="A10" s="20">
        <v>9</v>
      </c>
      <c r="B10" s="21" t="s">
        <v>76</v>
      </c>
      <c r="C10" s="21" t="s">
        <v>77</v>
      </c>
      <c r="D10" s="6" t="s">
        <v>78</v>
      </c>
      <c r="E10" s="6">
        <v>3804010</v>
      </c>
      <c r="F10" s="22" t="s">
        <v>14</v>
      </c>
      <c r="G10" s="5" t="s">
        <v>42</v>
      </c>
      <c r="H10" s="5" t="s">
        <v>41</v>
      </c>
      <c r="I10" s="23">
        <v>9433.7199999999993</v>
      </c>
      <c r="J10" s="23">
        <v>8753.7900000000009</v>
      </c>
      <c r="K10" s="23">
        <v>496</v>
      </c>
      <c r="L10" s="23"/>
      <c r="M10" s="23">
        <f>1870.13-12.35</f>
        <v>1857.7800000000002</v>
      </c>
      <c r="N10" s="23">
        <v>0</v>
      </c>
      <c r="O10" s="23">
        <f>+Table24[[#This Row],[FoodcostBlueline]]+Table24[[#This Row],[Pepsico]]</f>
        <v>1857.7800000000002</v>
      </c>
      <c r="P10" s="24">
        <f t="shared" si="0"/>
        <v>0.19692973715565018</v>
      </c>
      <c r="Q10" s="24"/>
      <c r="R10" s="23">
        <f>140+2124</f>
        <v>2264</v>
      </c>
      <c r="S10" s="25">
        <f t="shared" si="1"/>
        <v>0.23999016294738451</v>
      </c>
      <c r="T10" s="25"/>
      <c r="U10" s="26">
        <f>Table24[[#This Row],[WagesPercent]]+Table24[[#This Row],[FoodCostPercent]]</f>
        <v>0.43691990010303472</v>
      </c>
      <c r="V10" s="26"/>
    </row>
    <row r="11" spans="1:24" x14ac:dyDescent="0.25">
      <c r="A11" s="20">
        <v>10</v>
      </c>
      <c r="B11" s="21" t="s">
        <v>76</v>
      </c>
      <c r="C11" s="21" t="s">
        <v>77</v>
      </c>
      <c r="D11" s="6" t="s">
        <v>78</v>
      </c>
      <c r="E11" s="22">
        <v>3804011</v>
      </c>
      <c r="F11" s="6" t="s">
        <v>15</v>
      </c>
      <c r="G11" s="6" t="s">
        <v>16</v>
      </c>
      <c r="H11" s="5" t="s">
        <v>41</v>
      </c>
      <c r="I11" s="23">
        <v>26412.84</v>
      </c>
      <c r="J11" s="23">
        <v>19964.03</v>
      </c>
      <c r="K11" s="23">
        <v>1644</v>
      </c>
      <c r="L11" s="23"/>
      <c r="M11" s="23">
        <v>8132.65</v>
      </c>
      <c r="N11" s="23">
        <v>870.43</v>
      </c>
      <c r="O11" s="23">
        <f>+Table24[[#This Row],[FoodcostBlueline]]+Table24[[#This Row],[Pepsico]]</f>
        <v>9003.08</v>
      </c>
      <c r="P11" s="24">
        <f t="shared" si="0"/>
        <v>0.34085997567849574</v>
      </c>
      <c r="Q11" s="24"/>
      <c r="R11" s="23">
        <f>4031.31+1096.15</f>
        <v>5127.46</v>
      </c>
      <c r="S11" s="25">
        <f t="shared" si="1"/>
        <v>0.19412755311431865</v>
      </c>
      <c r="T11" s="25"/>
      <c r="U11" s="26">
        <f>Table24[[#This Row],[WagesPercent]]+Table24[[#This Row],[FoodCostPercent]]</f>
        <v>0.53498752879281442</v>
      </c>
      <c r="V11" s="26"/>
    </row>
    <row r="12" spans="1:24" x14ac:dyDescent="0.25">
      <c r="A12" s="20">
        <v>11</v>
      </c>
      <c r="B12" s="21" t="s">
        <v>76</v>
      </c>
      <c r="C12" s="21" t="s">
        <v>77</v>
      </c>
      <c r="D12" s="6" t="s">
        <v>78</v>
      </c>
      <c r="E12" s="22">
        <v>3804013</v>
      </c>
      <c r="F12" s="6" t="s">
        <v>17</v>
      </c>
      <c r="G12" s="6" t="s">
        <v>16</v>
      </c>
      <c r="H12" s="5" t="s">
        <v>41</v>
      </c>
      <c r="I12" s="23">
        <v>8433.4599999999991</v>
      </c>
      <c r="J12" s="23">
        <v>6645.67</v>
      </c>
      <c r="K12" s="23">
        <v>508</v>
      </c>
      <c r="L12" s="23"/>
      <c r="M12" s="23">
        <v>3035.38</v>
      </c>
      <c r="N12" s="23">
        <v>0</v>
      </c>
      <c r="O12" s="23">
        <f>+Table24[[#This Row],[FoodcostBlueline]]+Table24[[#This Row],[Pepsico]]</f>
        <v>3035.38</v>
      </c>
      <c r="P12" s="24">
        <f t="shared" si="0"/>
        <v>0.35992107628422976</v>
      </c>
      <c r="Q12" s="24"/>
      <c r="R12" s="23">
        <v>2676.35</v>
      </c>
      <c r="S12" s="25">
        <f t="shared" si="1"/>
        <v>0.31734898843416581</v>
      </c>
      <c r="T12" s="25"/>
      <c r="U12" s="26">
        <f>Table24[[#This Row],[WagesPercent]]+Table24[[#This Row],[FoodCostPercent]]</f>
        <v>0.67727006471839557</v>
      </c>
      <c r="V12" s="26"/>
    </row>
    <row r="13" spans="1:24" x14ac:dyDescent="0.25">
      <c r="A13" s="20">
        <v>12</v>
      </c>
      <c r="B13" s="21" t="s">
        <v>76</v>
      </c>
      <c r="C13" s="21" t="s">
        <v>77</v>
      </c>
      <c r="D13" s="6" t="s">
        <v>78</v>
      </c>
      <c r="E13" s="22">
        <v>3804014</v>
      </c>
      <c r="F13" s="22" t="s">
        <v>18</v>
      </c>
      <c r="G13" s="22" t="s">
        <v>16</v>
      </c>
      <c r="H13" s="5" t="s">
        <v>41</v>
      </c>
      <c r="I13" s="23">
        <v>7853.88</v>
      </c>
      <c r="J13" s="23">
        <v>7783.71</v>
      </c>
      <c r="K13" s="23">
        <v>450</v>
      </c>
      <c r="L13" s="23"/>
      <c r="M13" s="23">
        <v>2573.17</v>
      </c>
      <c r="N13" s="23">
        <v>789.65</v>
      </c>
      <c r="O13" s="23">
        <f>+Table24[[#This Row],[FoodcostBlueline]]+Table24[[#This Row],[Pepsico]]</f>
        <v>3362.82</v>
      </c>
      <c r="P13" s="24">
        <f t="shared" si="0"/>
        <v>0.42817308133050164</v>
      </c>
      <c r="Q13" s="24"/>
      <c r="R13" s="23">
        <v>1790.43</v>
      </c>
      <c r="S13" s="25">
        <f t="shared" si="1"/>
        <v>0.22796757780867546</v>
      </c>
      <c r="T13" s="25"/>
      <c r="U13" s="26">
        <f>Table24[[#This Row],[WagesPercent]]+Table24[[#This Row],[FoodCostPercent]]</f>
        <v>0.65614065913917707</v>
      </c>
      <c r="V13" s="26"/>
    </row>
    <row r="14" spans="1:24" x14ac:dyDescent="0.25">
      <c r="A14" s="20">
        <v>13</v>
      </c>
      <c r="B14" s="21" t="s">
        <v>76</v>
      </c>
      <c r="C14" s="21" t="s">
        <v>77</v>
      </c>
      <c r="D14" s="6" t="s">
        <v>78</v>
      </c>
      <c r="E14" s="6">
        <v>3804015</v>
      </c>
      <c r="F14" s="6" t="s">
        <v>19</v>
      </c>
      <c r="G14" s="6" t="s">
        <v>20</v>
      </c>
      <c r="H14" s="5" t="s">
        <v>41</v>
      </c>
      <c r="I14" s="23">
        <v>12910.37</v>
      </c>
      <c r="J14" s="23">
        <v>14514.33</v>
      </c>
      <c r="K14" s="23">
        <v>854</v>
      </c>
      <c r="L14" s="23"/>
      <c r="M14" s="23">
        <v>3634.58</v>
      </c>
      <c r="N14" s="23">
        <v>181.31</v>
      </c>
      <c r="O14" s="23">
        <f>+Table24[[#This Row],[FoodcostBlueline]]+Table24[[#This Row],[Pepsico]]</f>
        <v>3815.89</v>
      </c>
      <c r="P14" s="24">
        <f t="shared" si="0"/>
        <v>0.29556782648367164</v>
      </c>
      <c r="Q14" s="24"/>
      <c r="R14" s="23">
        <v>3641.46</v>
      </c>
      <c r="S14" s="25">
        <f t="shared" si="1"/>
        <v>0.2820569821004355</v>
      </c>
      <c r="T14" s="25"/>
      <c r="U14" s="26">
        <f>Table24[[#This Row],[WagesPercent]]+Table24[[#This Row],[FoodCostPercent]]</f>
        <v>0.57762480858410714</v>
      </c>
      <c r="V14" s="26"/>
    </row>
    <row r="15" spans="1:24" x14ac:dyDescent="0.25">
      <c r="A15" s="20">
        <v>14</v>
      </c>
      <c r="B15" s="21" t="s">
        <v>76</v>
      </c>
      <c r="C15" s="21" t="s">
        <v>77</v>
      </c>
      <c r="D15" s="6" t="s">
        <v>78</v>
      </c>
      <c r="E15" s="22">
        <v>3804016</v>
      </c>
      <c r="F15" s="22" t="s">
        <v>21</v>
      </c>
      <c r="G15" s="22" t="s">
        <v>22</v>
      </c>
      <c r="H15" s="5" t="s">
        <v>40</v>
      </c>
      <c r="I15" s="23">
        <f>11435.16-27</f>
        <v>11408.16</v>
      </c>
      <c r="J15" s="23">
        <v>12457.34</v>
      </c>
      <c r="K15" s="23">
        <v>677</v>
      </c>
      <c r="L15" s="23"/>
      <c r="M15" s="23">
        <v>2887</v>
      </c>
      <c r="N15" s="23">
        <v>391.14</v>
      </c>
      <c r="O15" s="23">
        <f>+Table24[[#This Row],[FoodcostBlueline]]+Table24[[#This Row],[Pepsico]]</f>
        <v>3278.14</v>
      </c>
      <c r="P15" s="24">
        <f t="shared" si="0"/>
        <v>0.28735045791784125</v>
      </c>
      <c r="Q15" s="24"/>
      <c r="R15" s="23">
        <v>3152.85</v>
      </c>
      <c r="S15" s="25">
        <f t="shared" si="1"/>
        <v>0.27636796819118947</v>
      </c>
      <c r="T15" s="25"/>
      <c r="U15" s="26">
        <f>Table24[[#This Row],[WagesPercent]]+Table24[[#This Row],[FoodCostPercent]]</f>
        <v>0.56371842610903067</v>
      </c>
      <c r="V15" s="26"/>
    </row>
    <row r="16" spans="1:24" x14ac:dyDescent="0.25">
      <c r="A16" s="20">
        <v>15</v>
      </c>
      <c r="B16" s="21" t="s">
        <v>76</v>
      </c>
      <c r="C16" s="21" t="s">
        <v>77</v>
      </c>
      <c r="D16" s="6" t="s">
        <v>78</v>
      </c>
      <c r="E16" s="6">
        <v>3804017</v>
      </c>
      <c r="F16" s="6" t="s">
        <v>23</v>
      </c>
      <c r="G16" s="6" t="s">
        <v>22</v>
      </c>
      <c r="H16" s="5" t="s">
        <v>40</v>
      </c>
      <c r="I16" s="23">
        <v>17597.38</v>
      </c>
      <c r="J16" s="23">
        <v>19115.330000000002</v>
      </c>
      <c r="K16" s="23">
        <v>1092</v>
      </c>
      <c r="L16" s="23"/>
      <c r="M16" s="23">
        <v>5168.16</v>
      </c>
      <c r="N16" s="23">
        <v>183.04</v>
      </c>
      <c r="O16" s="23">
        <f>+Table24[[#This Row],[FoodcostBlueline]]+Table24[[#This Row],[Pepsico]]</f>
        <v>5351.2</v>
      </c>
      <c r="P16" s="24">
        <f t="shared" si="0"/>
        <v>0.30409072259620462</v>
      </c>
      <c r="Q16" s="24"/>
      <c r="R16" s="23">
        <v>3738.53</v>
      </c>
      <c r="S16" s="25">
        <f t="shared" si="1"/>
        <v>0.21244810306988882</v>
      </c>
      <c r="T16" s="25"/>
      <c r="U16" s="26">
        <f>Table24[[#This Row],[WagesPercent]]+Table24[[#This Row],[FoodCostPercent]]</f>
        <v>0.51653882566609344</v>
      </c>
      <c r="V16" s="26"/>
    </row>
    <row r="17" spans="1:22" x14ac:dyDescent="0.25">
      <c r="A17" s="20">
        <v>16</v>
      </c>
      <c r="B17" s="21" t="s">
        <v>76</v>
      </c>
      <c r="C17" s="21" t="s">
        <v>77</v>
      </c>
      <c r="D17" s="6" t="s">
        <v>78</v>
      </c>
      <c r="E17" s="22">
        <v>3804018</v>
      </c>
      <c r="F17" s="22" t="s">
        <v>24</v>
      </c>
      <c r="G17" s="22" t="s">
        <v>20</v>
      </c>
      <c r="H17" s="5" t="s">
        <v>41</v>
      </c>
      <c r="I17" s="23">
        <v>18374.009999999998</v>
      </c>
      <c r="J17" s="23">
        <v>17140.89</v>
      </c>
      <c r="K17" s="23">
        <v>1091</v>
      </c>
      <c r="L17" s="23"/>
      <c r="M17" s="23">
        <v>5247.99</v>
      </c>
      <c r="N17" s="23">
        <f>501.51+326.79</f>
        <v>828.3</v>
      </c>
      <c r="O17" s="23">
        <f>+Table24[[#This Row],[FoodcostBlueline]]+Table24[[#This Row],[Pepsico]]</f>
        <v>6076.29</v>
      </c>
      <c r="P17" s="24">
        <f t="shared" si="0"/>
        <v>0.33070026630006188</v>
      </c>
      <c r="Q17" s="24"/>
      <c r="R17" s="23">
        <v>4026.59</v>
      </c>
      <c r="S17" s="25">
        <f t="shared" si="1"/>
        <v>0.21914595670732739</v>
      </c>
      <c r="T17" s="25"/>
      <c r="U17" s="26">
        <f>Table24[[#This Row],[WagesPercent]]+Table24[[#This Row],[FoodCostPercent]]</f>
        <v>0.54984622300738928</v>
      </c>
      <c r="V17" s="26"/>
    </row>
    <row r="18" spans="1:22" x14ac:dyDescent="0.25">
      <c r="A18" s="20">
        <v>17</v>
      </c>
      <c r="B18" s="21" t="s">
        <v>76</v>
      </c>
      <c r="C18" s="21" t="s">
        <v>77</v>
      </c>
      <c r="D18" s="6" t="s">
        <v>78</v>
      </c>
      <c r="E18" s="22">
        <v>3804019</v>
      </c>
      <c r="F18" s="6" t="s">
        <v>25</v>
      </c>
      <c r="G18" s="6" t="s">
        <v>20</v>
      </c>
      <c r="H18" s="5" t="s">
        <v>41</v>
      </c>
      <c r="I18" s="23">
        <v>10633.78</v>
      </c>
      <c r="J18" s="23">
        <v>11209.89</v>
      </c>
      <c r="K18" s="23">
        <v>629</v>
      </c>
      <c r="L18" s="23"/>
      <c r="M18" s="23">
        <v>3152.5</v>
      </c>
      <c r="N18" s="23">
        <v>294.82</v>
      </c>
      <c r="O18" s="23">
        <f>+Table24[[#This Row],[FoodcostBlueline]]+Table24[[#This Row],[Pepsico]]</f>
        <v>3447.32</v>
      </c>
      <c r="P18" s="24">
        <f t="shared" si="0"/>
        <v>0.3241857552065211</v>
      </c>
      <c r="Q18" s="24"/>
      <c r="R18" s="23">
        <v>3012.4</v>
      </c>
      <c r="S18" s="25">
        <f t="shared" si="1"/>
        <v>0.2832859058585</v>
      </c>
      <c r="T18" s="25"/>
      <c r="U18" s="26">
        <f>Table24[[#This Row],[WagesPercent]]+Table24[[#This Row],[FoodCostPercent]]</f>
        <v>0.60747166106502104</v>
      </c>
      <c r="V18" s="26"/>
    </row>
    <row r="19" spans="1:22" x14ac:dyDescent="0.25">
      <c r="A19" s="20">
        <v>18</v>
      </c>
      <c r="B19" s="21" t="s">
        <v>76</v>
      </c>
      <c r="C19" s="21" t="s">
        <v>77</v>
      </c>
      <c r="D19" s="6" t="s">
        <v>78</v>
      </c>
      <c r="E19" s="6">
        <v>3804020</v>
      </c>
      <c r="F19" s="22" t="s">
        <v>26</v>
      </c>
      <c r="G19" s="22" t="s">
        <v>22</v>
      </c>
      <c r="H19" s="5" t="s">
        <v>40</v>
      </c>
      <c r="I19" s="23">
        <v>10129.23</v>
      </c>
      <c r="J19" s="23">
        <v>10649.22</v>
      </c>
      <c r="K19" s="23">
        <v>615</v>
      </c>
      <c r="L19" s="23"/>
      <c r="M19" s="23">
        <v>3289.45</v>
      </c>
      <c r="N19" s="23">
        <v>297.02999999999997</v>
      </c>
      <c r="O19" s="23">
        <f>+Table24[[#This Row],[FoodcostBlueline]]+Table24[[#This Row],[Pepsico]]</f>
        <v>3586.4799999999996</v>
      </c>
      <c r="P19" s="24">
        <f t="shared" si="0"/>
        <v>0.3540723233651521</v>
      </c>
      <c r="Q19" s="24"/>
      <c r="R19" s="23">
        <v>2164.94</v>
      </c>
      <c r="S19" s="25">
        <f t="shared" si="1"/>
        <v>0.21373194211208554</v>
      </c>
      <c r="T19" s="25"/>
      <c r="U19" s="26">
        <f>Table24[[#This Row],[WagesPercent]]+Table24[[#This Row],[FoodCostPercent]]</f>
        <v>0.56780426547723761</v>
      </c>
      <c r="V19" s="26"/>
    </row>
    <row r="20" spans="1:22" x14ac:dyDescent="0.25">
      <c r="A20" s="20">
        <v>19</v>
      </c>
      <c r="B20" s="21" t="s">
        <v>76</v>
      </c>
      <c r="C20" s="21" t="s">
        <v>77</v>
      </c>
      <c r="D20" s="6" t="s">
        <v>78</v>
      </c>
      <c r="E20" s="22">
        <v>3804021</v>
      </c>
      <c r="F20" s="6" t="s">
        <v>27</v>
      </c>
      <c r="G20" s="6" t="s">
        <v>22</v>
      </c>
      <c r="H20" s="5" t="s">
        <v>40</v>
      </c>
      <c r="I20" s="23">
        <v>19001.919999999998</v>
      </c>
      <c r="J20" s="23">
        <v>20822.25</v>
      </c>
      <c r="K20" s="23">
        <v>1158</v>
      </c>
      <c r="L20" s="23"/>
      <c r="M20" s="23">
        <v>5478.36</v>
      </c>
      <c r="N20" s="23">
        <v>649.24</v>
      </c>
      <c r="O20" s="23">
        <f>+Table24[[#This Row],[FoodcostBlueline]]+Table24[[#This Row],[Pepsico]]</f>
        <v>6127.5999999999995</v>
      </c>
      <c r="P20" s="24">
        <f t="shared" si="0"/>
        <v>0.32247267644532762</v>
      </c>
      <c r="Q20" s="24"/>
      <c r="R20" s="23">
        <v>3907.65</v>
      </c>
      <c r="S20" s="25">
        <f t="shared" si="1"/>
        <v>0.20564500850440379</v>
      </c>
      <c r="T20" s="25"/>
      <c r="U20" s="26">
        <f>Table24[[#This Row],[WagesPercent]]+Table24[[#This Row],[FoodCostPercent]]</f>
        <v>0.52811768494973144</v>
      </c>
      <c r="V20" s="26"/>
    </row>
    <row r="21" spans="1:22" x14ac:dyDescent="0.25">
      <c r="A21" s="20">
        <v>20</v>
      </c>
      <c r="B21" s="21" t="s">
        <v>76</v>
      </c>
      <c r="C21" s="21" t="s">
        <v>77</v>
      </c>
      <c r="D21" s="6" t="s">
        <v>78</v>
      </c>
      <c r="E21" s="6">
        <v>3804022</v>
      </c>
      <c r="F21" s="22" t="s">
        <v>28</v>
      </c>
      <c r="G21" s="22" t="s">
        <v>22</v>
      </c>
      <c r="H21" s="5" t="s">
        <v>40</v>
      </c>
      <c r="I21" s="23">
        <v>11954.04</v>
      </c>
      <c r="J21" s="23">
        <v>13027.98</v>
      </c>
      <c r="K21" s="23">
        <v>703</v>
      </c>
      <c r="L21" s="23"/>
      <c r="M21" s="23">
        <v>2697.4</v>
      </c>
      <c r="N21" s="23">
        <v>0</v>
      </c>
      <c r="O21" s="23">
        <f>+Table24[[#This Row],[FoodcostBlueline]]+Table24[[#This Row],[Pepsico]]</f>
        <v>2697.4</v>
      </c>
      <c r="P21" s="24">
        <f t="shared" si="0"/>
        <v>0.22564756350154425</v>
      </c>
      <c r="Q21" s="24"/>
      <c r="R21" s="23">
        <v>2622.26</v>
      </c>
      <c r="S21" s="25">
        <f t="shared" si="1"/>
        <v>0.21936182244663729</v>
      </c>
      <c r="T21" s="25"/>
      <c r="U21" s="26">
        <f>Table24[[#This Row],[WagesPercent]]+Table24[[#This Row],[FoodCostPercent]]</f>
        <v>0.44500938594818151</v>
      </c>
      <c r="V21" s="26"/>
    </row>
    <row r="22" spans="1:22" x14ac:dyDescent="0.25">
      <c r="A22" s="20">
        <v>21</v>
      </c>
      <c r="B22" s="21" t="s">
        <v>76</v>
      </c>
      <c r="C22" s="21" t="s">
        <v>77</v>
      </c>
      <c r="D22" s="6" t="s">
        <v>78</v>
      </c>
      <c r="E22" s="22">
        <v>3804023</v>
      </c>
      <c r="F22" s="6" t="s">
        <v>29</v>
      </c>
      <c r="G22" s="6" t="s">
        <v>22</v>
      </c>
      <c r="H22" s="5" t="s">
        <v>40</v>
      </c>
      <c r="I22" s="23">
        <v>14165.71</v>
      </c>
      <c r="J22" s="23">
        <v>14436.75</v>
      </c>
      <c r="K22" s="23">
        <v>879</v>
      </c>
      <c r="L22" s="23"/>
      <c r="M22" s="23">
        <v>4208.6899999999996</v>
      </c>
      <c r="N22" s="23">
        <v>0</v>
      </c>
      <c r="O22" s="23">
        <f>+Table24[[#This Row],[FoodcostBlueline]]+Table24[[#This Row],[Pepsico]]</f>
        <v>4208.6899999999996</v>
      </c>
      <c r="P22" s="24">
        <f t="shared" si="0"/>
        <v>0.29710406326262501</v>
      </c>
      <c r="Q22" s="24"/>
      <c r="R22" s="23">
        <v>3262.4</v>
      </c>
      <c r="S22" s="25">
        <f t="shared" si="1"/>
        <v>0.23030261102337971</v>
      </c>
      <c r="T22" s="25"/>
      <c r="U22" s="26">
        <f>Table24[[#This Row],[WagesPercent]]+Table24[[#This Row],[FoodCostPercent]]</f>
        <v>0.52740667428600474</v>
      </c>
      <c r="V22" s="26"/>
    </row>
    <row r="23" spans="1:22" x14ac:dyDescent="0.25">
      <c r="A23" s="20">
        <v>22</v>
      </c>
      <c r="B23" s="21" t="s">
        <v>76</v>
      </c>
      <c r="C23" s="21" t="s">
        <v>77</v>
      </c>
      <c r="D23" s="6" t="s">
        <v>78</v>
      </c>
      <c r="E23" s="22">
        <v>3804024</v>
      </c>
      <c r="F23" s="22" t="s">
        <v>30</v>
      </c>
      <c r="G23" s="22" t="s">
        <v>20</v>
      </c>
      <c r="H23" s="5" t="s">
        <v>41</v>
      </c>
      <c r="I23" s="23">
        <v>9116.33</v>
      </c>
      <c r="J23" s="23">
        <v>9935.77</v>
      </c>
      <c r="K23" s="23">
        <v>556</v>
      </c>
      <c r="L23" s="23"/>
      <c r="M23" s="27">
        <v>1772.13</v>
      </c>
      <c r="N23" s="23">
        <v>0</v>
      </c>
      <c r="O23" s="23">
        <f>+Table24[[#This Row],[FoodcostBlueline]]+Table24[[#This Row],[Pepsico]]</f>
        <v>1772.13</v>
      </c>
      <c r="P23" s="24">
        <f t="shared" si="0"/>
        <v>0.19439072521508108</v>
      </c>
      <c r="Q23" s="24"/>
      <c r="R23" s="23">
        <f>3505.42+63.23</f>
        <v>3568.65</v>
      </c>
      <c r="S23" s="25">
        <f t="shared" si="1"/>
        <v>0.39145686915677691</v>
      </c>
      <c r="T23" s="25"/>
      <c r="U23" s="26">
        <f>Table24[[#This Row],[WagesPercent]]+Table24[[#This Row],[FoodCostPercent]]</f>
        <v>0.58584759437185796</v>
      </c>
      <c r="V23" s="26"/>
    </row>
    <row r="24" spans="1:22" x14ac:dyDescent="0.25">
      <c r="A24" s="20">
        <v>23</v>
      </c>
      <c r="B24" s="21" t="s">
        <v>76</v>
      </c>
      <c r="C24" s="21" t="s">
        <v>77</v>
      </c>
      <c r="D24" s="6" t="s">
        <v>78</v>
      </c>
      <c r="E24" s="22">
        <v>3804025</v>
      </c>
      <c r="F24" s="6" t="s">
        <v>31</v>
      </c>
      <c r="G24" s="6" t="s">
        <v>20</v>
      </c>
      <c r="H24" s="5" t="s">
        <v>41</v>
      </c>
      <c r="I24" s="23">
        <v>22863.599999999999</v>
      </c>
      <c r="J24" s="23">
        <v>20828.8</v>
      </c>
      <c r="K24" s="23">
        <v>1364</v>
      </c>
      <c r="L24" s="23"/>
      <c r="M24" s="23">
        <v>6227.56</v>
      </c>
      <c r="N24" s="23">
        <v>366.81</v>
      </c>
      <c r="O24" s="23">
        <f>+Table24[[#This Row],[FoodcostBlueline]]+Table24[[#This Row],[Pepsico]]</f>
        <v>6594.3700000000008</v>
      </c>
      <c r="P24" s="24">
        <f t="shared" si="0"/>
        <v>0.28842220822617615</v>
      </c>
      <c r="Q24" s="24"/>
      <c r="R24" s="23">
        <v>5386.09</v>
      </c>
      <c r="S24" s="25">
        <f t="shared" si="1"/>
        <v>0.23557488759425466</v>
      </c>
      <c r="T24" s="25"/>
      <c r="U24" s="26">
        <f>Table24[[#This Row],[WagesPercent]]+Table24[[#This Row],[FoodCostPercent]]</f>
        <v>0.52399709582043075</v>
      </c>
      <c r="V24" s="26"/>
    </row>
    <row r="25" spans="1:22" x14ac:dyDescent="0.25">
      <c r="A25" s="20">
        <v>24</v>
      </c>
      <c r="B25" s="21" t="s">
        <v>76</v>
      </c>
      <c r="C25" s="21" t="s">
        <v>77</v>
      </c>
      <c r="D25" s="6" t="s">
        <v>78</v>
      </c>
      <c r="E25" s="6">
        <v>3804026</v>
      </c>
      <c r="F25" s="22" t="s">
        <v>32</v>
      </c>
      <c r="G25" s="22" t="s">
        <v>79</v>
      </c>
      <c r="H25" s="7" t="s">
        <v>41</v>
      </c>
      <c r="I25" s="23">
        <v>12234.07</v>
      </c>
      <c r="J25" s="23">
        <v>10300.799999999999</v>
      </c>
      <c r="K25" s="23">
        <v>692</v>
      </c>
      <c r="L25" s="23"/>
      <c r="M25" s="23">
        <f>3384.77-86.11</f>
        <v>3298.66</v>
      </c>
      <c r="N25" s="23">
        <v>282</v>
      </c>
      <c r="O25" s="23">
        <f>+Table24[[#This Row],[FoodcostBlueline]]+Table24[[#This Row],[Pepsico]]</f>
        <v>3580.66</v>
      </c>
      <c r="P25" s="24">
        <f t="shared" si="0"/>
        <v>0.29267937816278639</v>
      </c>
      <c r="Q25" s="24"/>
      <c r="R25" s="23">
        <v>3540.5329999999999</v>
      </c>
      <c r="S25" s="25">
        <f t="shared" si="1"/>
        <v>0.28939943943430108</v>
      </c>
      <c r="T25" s="25"/>
      <c r="U25" s="26">
        <f>Table24[[#This Row],[WagesPercent]]+Table24[[#This Row],[FoodCostPercent]]</f>
        <v>0.58207881759708746</v>
      </c>
      <c r="V25" s="26"/>
    </row>
    <row r="26" spans="1:22" x14ac:dyDescent="0.25">
      <c r="A26" s="20">
        <v>25</v>
      </c>
      <c r="B26" s="21" t="s">
        <v>76</v>
      </c>
      <c r="C26" s="21" t="s">
        <v>77</v>
      </c>
      <c r="D26" s="6" t="s">
        <v>78</v>
      </c>
      <c r="E26" s="22">
        <v>3804027</v>
      </c>
      <c r="F26" s="6" t="s">
        <v>33</v>
      </c>
      <c r="G26" s="5" t="s">
        <v>43</v>
      </c>
      <c r="H26" s="5" t="s">
        <v>41</v>
      </c>
      <c r="I26" s="23">
        <v>18041.580000000002</v>
      </c>
      <c r="J26" s="23">
        <v>12120.1</v>
      </c>
      <c r="K26" s="23">
        <v>1196</v>
      </c>
      <c r="L26" s="23"/>
      <c r="M26" s="23">
        <v>5039.72</v>
      </c>
      <c r="N26" s="23">
        <v>0</v>
      </c>
      <c r="O26" s="23">
        <f>+Table24[[#This Row],[FoodcostBlueline]]+Table24[[#This Row],[Pepsico]]</f>
        <v>5039.72</v>
      </c>
      <c r="P26" s="24">
        <f t="shared" si="0"/>
        <v>0.27933917095952793</v>
      </c>
      <c r="Q26" s="24"/>
      <c r="R26" s="23">
        <f>2345.3+277+1600</f>
        <v>4222.3</v>
      </c>
      <c r="S26" s="25">
        <f t="shared" si="1"/>
        <v>0.23403160920495875</v>
      </c>
      <c r="T26" s="25"/>
      <c r="U26" s="26">
        <f>Table24[[#This Row],[WagesPercent]]+Table24[[#This Row],[FoodCostPercent]]</f>
        <v>0.51337078016448667</v>
      </c>
      <c r="V26" s="26"/>
    </row>
    <row r="27" spans="1:22" x14ac:dyDescent="0.25">
      <c r="A27" s="20">
        <v>26</v>
      </c>
      <c r="B27" s="21" t="s">
        <v>76</v>
      </c>
      <c r="C27" s="21" t="s">
        <v>77</v>
      </c>
      <c r="D27" s="6" t="s">
        <v>78</v>
      </c>
      <c r="E27" s="6">
        <v>3804029</v>
      </c>
      <c r="F27" s="22" t="s">
        <v>34</v>
      </c>
      <c r="G27" s="22" t="s">
        <v>79</v>
      </c>
      <c r="H27" s="5" t="s">
        <v>41</v>
      </c>
      <c r="I27" s="23">
        <v>10585.34</v>
      </c>
      <c r="J27" s="23">
        <v>9611.39</v>
      </c>
      <c r="K27" s="23">
        <v>650</v>
      </c>
      <c r="L27" s="23"/>
      <c r="M27" s="23">
        <v>3545.31</v>
      </c>
      <c r="N27" s="23">
        <v>0</v>
      </c>
      <c r="O27" s="23">
        <f>+Table24[[#This Row],[FoodcostBlueline]]+Table24[[#This Row],[Pepsico]]</f>
        <v>3545.31</v>
      </c>
      <c r="P27" s="24">
        <f t="shared" si="0"/>
        <v>0.33492641710138737</v>
      </c>
      <c r="Q27" s="24"/>
      <c r="R27" s="23">
        <f>199.06+2370+1325</f>
        <v>3894.06</v>
      </c>
      <c r="S27" s="25">
        <f t="shared" si="1"/>
        <v>0.36787292614124817</v>
      </c>
      <c r="T27" s="25"/>
      <c r="U27" s="26">
        <f>Table24[[#This Row],[WagesPercent]]+Table24[[#This Row],[FoodCostPercent]]</f>
        <v>0.7027993432426356</v>
      </c>
      <c r="V27" s="26"/>
    </row>
    <row r="28" spans="1:22" x14ac:dyDescent="0.25">
      <c r="A28" s="20">
        <v>27</v>
      </c>
      <c r="B28" s="21" t="s">
        <v>76</v>
      </c>
      <c r="C28" s="21" t="s">
        <v>77</v>
      </c>
      <c r="D28" s="6" t="s">
        <v>78</v>
      </c>
      <c r="E28" s="22">
        <v>3804030</v>
      </c>
      <c r="F28" s="6" t="s">
        <v>35</v>
      </c>
      <c r="G28" s="6" t="s">
        <v>5</v>
      </c>
      <c r="H28" s="5" t="s">
        <v>40</v>
      </c>
      <c r="I28" s="23">
        <v>8631.9599999999991</v>
      </c>
      <c r="J28" s="23">
        <v>8241.25</v>
      </c>
      <c r="K28" s="23">
        <v>486</v>
      </c>
      <c r="L28" s="23"/>
      <c r="M28" s="23">
        <f>2354.14-40.79</f>
        <v>2313.35</v>
      </c>
      <c r="N28" s="23">
        <v>142.47</v>
      </c>
      <c r="O28" s="23">
        <f>+Table24[[#This Row],[FoodcostBlueline]]+Table24[[#This Row],[Pepsico]]</f>
        <v>2455.8199999999997</v>
      </c>
      <c r="P28" s="24">
        <f t="shared" si="0"/>
        <v>0.28450317193314151</v>
      </c>
      <c r="Q28" s="24"/>
      <c r="R28" s="23">
        <v>2538.9899999999998</v>
      </c>
      <c r="S28" s="25">
        <f t="shared" si="1"/>
        <v>0.29413829535818053</v>
      </c>
      <c r="T28" s="25"/>
      <c r="U28" s="26">
        <f>Table24[[#This Row],[WagesPercent]]+Table24[[#This Row],[FoodCostPercent]]</f>
        <v>0.57864146729132204</v>
      </c>
      <c r="V28" s="26"/>
    </row>
    <row r="29" spans="1:22" x14ac:dyDescent="0.25">
      <c r="A29" s="20">
        <v>28</v>
      </c>
      <c r="B29" s="21" t="s">
        <v>76</v>
      </c>
      <c r="C29" s="21" t="s">
        <v>77</v>
      </c>
      <c r="D29" s="6" t="s">
        <v>78</v>
      </c>
      <c r="E29" s="22">
        <v>3804031</v>
      </c>
      <c r="F29" s="22" t="s">
        <v>36</v>
      </c>
      <c r="G29" s="22" t="s">
        <v>5</v>
      </c>
      <c r="H29" s="5" t="s">
        <v>40</v>
      </c>
      <c r="I29" s="23">
        <v>10138.17</v>
      </c>
      <c r="J29" s="23">
        <v>8295.26</v>
      </c>
      <c r="K29" s="23">
        <v>603</v>
      </c>
      <c r="L29" s="23"/>
      <c r="M29" s="23">
        <v>2602.89</v>
      </c>
      <c r="N29" s="23">
        <v>245.78</v>
      </c>
      <c r="O29" s="23">
        <f>+Table24[[#This Row],[FoodcostBlueline]]+Table24[[#This Row],[Pepsico]]</f>
        <v>2848.67</v>
      </c>
      <c r="P29" s="24">
        <f t="shared" si="0"/>
        <v>0.28098463529414086</v>
      </c>
      <c r="Q29" s="24"/>
      <c r="R29" s="37">
        <f>1554.01+840</f>
        <v>2394.0100000000002</v>
      </c>
      <c r="S29" s="25">
        <f t="shared" si="1"/>
        <v>0.23613827742087579</v>
      </c>
      <c r="T29" s="25"/>
      <c r="U29" s="26">
        <f>Table24[[#This Row],[WagesPercent]]+Table24[[#This Row],[FoodCostPercent]]</f>
        <v>0.51712291271501665</v>
      </c>
      <c r="V29" s="26"/>
    </row>
    <row r="30" spans="1:22" x14ac:dyDescent="0.25">
      <c r="A30" s="20">
        <v>29</v>
      </c>
      <c r="B30" s="21" t="s">
        <v>76</v>
      </c>
      <c r="C30" s="21" t="s">
        <v>77</v>
      </c>
      <c r="D30" s="6" t="s">
        <v>78</v>
      </c>
      <c r="E30" s="22">
        <v>3804032</v>
      </c>
      <c r="F30" s="6" t="s">
        <v>37</v>
      </c>
      <c r="G30" s="6" t="s">
        <v>5</v>
      </c>
      <c r="H30" s="5" t="s">
        <v>40</v>
      </c>
      <c r="I30" s="23">
        <v>6815.91</v>
      </c>
      <c r="J30" s="23">
        <v>5145.66</v>
      </c>
      <c r="K30" s="23">
        <v>418</v>
      </c>
      <c r="L30" s="23"/>
      <c r="M30" s="23">
        <v>1854.99</v>
      </c>
      <c r="N30" s="23">
        <v>0</v>
      </c>
      <c r="O30" s="23">
        <f>+Table24[[#This Row],[FoodcostBlueline]]+Table24[[#This Row],[Pepsico]]</f>
        <v>1854.99</v>
      </c>
      <c r="P30" s="24">
        <f t="shared" si="0"/>
        <v>0.27215588233999571</v>
      </c>
      <c r="Q30" s="24"/>
      <c r="R30" s="23">
        <f>1100+850+200</f>
        <v>2150</v>
      </c>
      <c r="S30" s="25">
        <f t="shared" si="1"/>
        <v>0.31543843742068189</v>
      </c>
      <c r="T30" s="25"/>
      <c r="U30" s="26">
        <f>Table24[[#This Row],[WagesPercent]]+Table24[[#This Row],[FoodCostPercent]]</f>
        <v>0.58759431976067766</v>
      </c>
      <c r="V30" s="26"/>
    </row>
    <row r="31" spans="1:22" x14ac:dyDescent="0.25">
      <c r="A31" s="20">
        <v>30</v>
      </c>
      <c r="B31" s="21" t="s">
        <v>76</v>
      </c>
      <c r="C31" s="21" t="s">
        <v>77</v>
      </c>
      <c r="D31" s="6" t="s">
        <v>78</v>
      </c>
      <c r="E31" s="6">
        <v>3804033</v>
      </c>
      <c r="F31" s="22" t="s">
        <v>38</v>
      </c>
      <c r="G31" s="22" t="s">
        <v>5</v>
      </c>
      <c r="H31" s="5" t="s">
        <v>40</v>
      </c>
      <c r="I31" s="23">
        <v>7067.33</v>
      </c>
      <c r="J31" s="23">
        <v>5254.81</v>
      </c>
      <c r="K31" s="23">
        <v>515</v>
      </c>
      <c r="L31" s="23"/>
      <c r="M31" s="23">
        <v>2069.58</v>
      </c>
      <c r="N31" s="23">
        <v>292.39999999999998</v>
      </c>
      <c r="O31" s="23">
        <f>+Table24[[#This Row],[FoodcostBlueline]]+Table24[[#This Row],[Pepsico]]</f>
        <v>2361.98</v>
      </c>
      <c r="P31" s="24">
        <f t="shared" si="0"/>
        <v>0.3342110811296487</v>
      </c>
      <c r="Q31" s="24"/>
      <c r="R31" s="23">
        <f>1100+850+165.58</f>
        <v>2115.58</v>
      </c>
      <c r="S31" s="25">
        <f t="shared" si="1"/>
        <v>0.29934642927385591</v>
      </c>
      <c r="T31" s="25"/>
      <c r="U31" s="26">
        <f>Table24[[#This Row],[WagesPercent]]+Table24[[#This Row],[FoodCostPercent]]</f>
        <v>0.63355751040350461</v>
      </c>
      <c r="V31" s="26"/>
    </row>
    <row r="32" spans="1:22" x14ac:dyDescent="0.25">
      <c r="A32" s="20">
        <v>31</v>
      </c>
      <c r="B32" s="21" t="s">
        <v>76</v>
      </c>
      <c r="C32" s="21" t="s">
        <v>77</v>
      </c>
      <c r="D32" s="6" t="s">
        <v>78</v>
      </c>
      <c r="E32" s="22">
        <v>3804034</v>
      </c>
      <c r="F32" s="6" t="s">
        <v>53</v>
      </c>
      <c r="G32" s="22" t="s">
        <v>79</v>
      </c>
      <c r="H32" s="5" t="s">
        <v>41</v>
      </c>
      <c r="I32" s="23">
        <v>7894.73</v>
      </c>
      <c r="J32" s="23">
        <v>0</v>
      </c>
      <c r="K32" s="23">
        <v>444</v>
      </c>
      <c r="L32" s="23"/>
      <c r="M32" s="23">
        <f>1930.69+67.12</f>
        <v>1997.81</v>
      </c>
      <c r="N32" s="23">
        <v>177.06</v>
      </c>
      <c r="O32" s="23">
        <f>+Table24[[#This Row],[FoodcostBlueline]]+Table24[[#This Row],[Pepsico]]</f>
        <v>2174.87</v>
      </c>
      <c r="P32" s="24">
        <f t="shared" si="0"/>
        <v>0.27548377208593583</v>
      </c>
      <c r="Q32" s="24"/>
      <c r="R32" s="23">
        <f>534.4+2400</f>
        <v>2934.4</v>
      </c>
      <c r="S32" s="25">
        <f t="shared" si="1"/>
        <v>0.37169098879885698</v>
      </c>
      <c r="T32" s="25"/>
      <c r="U32" s="26">
        <f>Table24[[#This Row],[WagesPercent]]+Table24[[#This Row],[FoodCostPercent]]</f>
        <v>0.64717476088479287</v>
      </c>
      <c r="V32" s="26"/>
    </row>
    <row r="33" spans="1:22" x14ac:dyDescent="0.25">
      <c r="A33" s="20">
        <v>32</v>
      </c>
      <c r="B33" s="21" t="s">
        <v>80</v>
      </c>
      <c r="C33" s="21" t="s">
        <v>77</v>
      </c>
      <c r="D33" s="6" t="s">
        <v>81</v>
      </c>
      <c r="E33" s="22">
        <v>3804001</v>
      </c>
      <c r="F33" s="22" t="s">
        <v>4</v>
      </c>
      <c r="G33" s="22" t="s">
        <v>5</v>
      </c>
      <c r="H33" s="5" t="s">
        <v>40</v>
      </c>
      <c r="I33" s="28">
        <f>26245-41.32</f>
        <v>26203.68</v>
      </c>
      <c r="J33" s="28">
        <v>26511.72</v>
      </c>
      <c r="K33" s="23">
        <v>1733</v>
      </c>
      <c r="L33" s="23"/>
      <c r="M33" s="23">
        <v>7323.04</v>
      </c>
      <c r="N33" s="23">
        <v>541.25</v>
      </c>
      <c r="O33" s="23">
        <f>+Table24[[#This Row],[FoodcostBlueline]]+Table24[[#This Row],[Pepsico]]</f>
        <v>7864.29</v>
      </c>
      <c r="P33" s="24">
        <f t="shared" si="0"/>
        <v>0.30012158597571026</v>
      </c>
      <c r="Q33" s="24"/>
      <c r="R33" s="23">
        <f>4046.76+600+165.58</f>
        <v>4812.34</v>
      </c>
      <c r="S33" s="25">
        <f t="shared" si="1"/>
        <v>0.18365130393898874</v>
      </c>
      <c r="T33" s="25"/>
      <c r="U33" s="26">
        <f>Table24[[#This Row],[WagesPercent]]+Table24[[#This Row],[FoodCostPercent]]</f>
        <v>0.48377288991469902</v>
      </c>
      <c r="V33" s="26"/>
    </row>
    <row r="34" spans="1:22" x14ac:dyDescent="0.25">
      <c r="A34" s="20">
        <v>33</v>
      </c>
      <c r="B34" s="21" t="s">
        <v>80</v>
      </c>
      <c r="C34" s="21" t="s">
        <v>77</v>
      </c>
      <c r="D34" s="6" t="s">
        <v>81</v>
      </c>
      <c r="E34" s="6">
        <v>3804002</v>
      </c>
      <c r="F34" s="6" t="s">
        <v>6</v>
      </c>
      <c r="G34" s="6" t="s">
        <v>7</v>
      </c>
      <c r="H34" s="5" t="s">
        <v>41</v>
      </c>
      <c r="I34" s="28">
        <f>11428.07-152.95</f>
        <v>11275.119999999999</v>
      </c>
      <c r="J34" s="28">
        <v>12207.41</v>
      </c>
      <c r="K34" s="23">
        <v>949</v>
      </c>
      <c r="L34" s="23"/>
      <c r="M34" s="23">
        <f>3758.27-62.4+188.61</f>
        <v>3884.48</v>
      </c>
      <c r="N34" s="23">
        <f>477.53-477.53-477.53</f>
        <v>-477.53</v>
      </c>
      <c r="O34" s="23">
        <f>+Table24[[#This Row],[FoodcostBlueline]]+Table24[[#This Row],[Pepsico]]</f>
        <v>3406.95</v>
      </c>
      <c r="P34" s="24">
        <f t="shared" si="0"/>
        <v>0.30216529846245538</v>
      </c>
      <c r="Q34" s="24"/>
      <c r="R34" s="23">
        <v>3619.04</v>
      </c>
      <c r="S34" s="25">
        <f t="shared" si="1"/>
        <v>0.32097574127814166</v>
      </c>
      <c r="T34" s="25"/>
      <c r="U34" s="26">
        <f>Table24[[#This Row],[WagesPercent]]+Table24[[#This Row],[FoodCostPercent]]</f>
        <v>0.62314103974059698</v>
      </c>
      <c r="V34" s="26"/>
    </row>
    <row r="35" spans="1:22" x14ac:dyDescent="0.25">
      <c r="A35" s="20">
        <v>34</v>
      </c>
      <c r="B35" s="21" t="s">
        <v>80</v>
      </c>
      <c r="C35" s="21" t="s">
        <v>77</v>
      </c>
      <c r="D35" s="6" t="s">
        <v>81</v>
      </c>
      <c r="E35" s="22">
        <v>3804003</v>
      </c>
      <c r="F35" s="22" t="s">
        <v>8</v>
      </c>
      <c r="G35" s="22" t="s">
        <v>7</v>
      </c>
      <c r="H35" s="5" t="s">
        <v>41</v>
      </c>
      <c r="I35" s="28">
        <v>11428.87</v>
      </c>
      <c r="J35" s="28">
        <v>7410.62</v>
      </c>
      <c r="K35" s="23">
        <v>734</v>
      </c>
      <c r="L35" s="23"/>
      <c r="M35" s="23">
        <f>354.29+3445.11+177.93</f>
        <v>3977.33</v>
      </c>
      <c r="N35" s="23">
        <v>548.25</v>
      </c>
      <c r="O35" s="23">
        <f>+Table24[[#This Row],[FoodcostBlueline]]+Table24[[#This Row],[Pepsico]]</f>
        <v>4525.58</v>
      </c>
      <c r="P35" s="24">
        <f t="shared" si="0"/>
        <v>0.3959779050772298</v>
      </c>
      <c r="Q35" s="24"/>
      <c r="R35" s="23">
        <v>2678.24</v>
      </c>
      <c r="S35" s="25">
        <f t="shared" si="1"/>
        <v>0.2343398778706906</v>
      </c>
      <c r="T35" s="25"/>
      <c r="U35" s="26">
        <f>Table24[[#This Row],[WagesPercent]]+Table24[[#This Row],[FoodCostPercent]]</f>
        <v>0.6303177829479204</v>
      </c>
      <c r="V35" s="26"/>
    </row>
    <row r="36" spans="1:22" x14ac:dyDescent="0.25">
      <c r="A36" s="20">
        <v>35</v>
      </c>
      <c r="B36" s="21" t="s">
        <v>80</v>
      </c>
      <c r="C36" s="21" t="s">
        <v>77</v>
      </c>
      <c r="D36" s="6" t="s">
        <v>81</v>
      </c>
      <c r="E36" s="22">
        <v>3804004</v>
      </c>
      <c r="F36" s="6" t="s">
        <v>9</v>
      </c>
      <c r="G36" s="6" t="s">
        <v>7</v>
      </c>
      <c r="H36" s="5" t="s">
        <v>41</v>
      </c>
      <c r="I36" s="28">
        <v>14653.32</v>
      </c>
      <c r="J36" s="28">
        <v>12312.08</v>
      </c>
      <c r="K36" s="23">
        <v>989</v>
      </c>
      <c r="L36" s="23"/>
      <c r="M36" s="23">
        <f>113.41-4793.73+188.61+4825.53+4793.73</f>
        <v>5127.5499999999993</v>
      </c>
      <c r="N36" s="23">
        <v>575.12</v>
      </c>
      <c r="O36" s="23">
        <f>+Table24[[#This Row],[FoodcostBlueline]]+Table24[[#This Row],[Pepsico]]</f>
        <v>5702.6699999999992</v>
      </c>
      <c r="P36" s="24">
        <f t="shared" si="0"/>
        <v>0.38917255611697549</v>
      </c>
      <c r="Q36" s="24"/>
      <c r="R36" s="23">
        <v>3699.12</v>
      </c>
      <c r="S36" s="25">
        <f t="shared" si="1"/>
        <v>0.25244244990213821</v>
      </c>
      <c r="T36" s="25"/>
      <c r="U36" s="26">
        <f>Table24[[#This Row],[WagesPercent]]+Table24[[#This Row],[FoodCostPercent]]</f>
        <v>0.6416150060191137</v>
      </c>
      <c r="V36" s="26"/>
    </row>
    <row r="37" spans="1:22" x14ac:dyDescent="0.25">
      <c r="A37" s="20">
        <v>36</v>
      </c>
      <c r="B37" s="21" t="s">
        <v>80</v>
      </c>
      <c r="C37" s="21" t="s">
        <v>77</v>
      </c>
      <c r="D37" s="6" t="s">
        <v>81</v>
      </c>
      <c r="E37" s="6">
        <v>3804005</v>
      </c>
      <c r="F37" s="22" t="s">
        <v>10</v>
      </c>
      <c r="G37" s="22" t="s">
        <v>7</v>
      </c>
      <c r="H37" s="5" t="s">
        <v>41</v>
      </c>
      <c r="I37" s="28">
        <v>13802.96</v>
      </c>
      <c r="J37" s="28">
        <v>12252.56</v>
      </c>
      <c r="K37" s="23">
        <v>877</v>
      </c>
      <c r="L37" s="23"/>
      <c r="M37" s="23">
        <f>3676.81-1123.2-94.58+188.61</f>
        <v>2647.64</v>
      </c>
      <c r="N37" s="23">
        <f>673.94+673.94-673.94</f>
        <v>673.94</v>
      </c>
      <c r="O37" s="23">
        <f>+Table24[[#This Row],[FoodcostBlueline]]+Table24[[#This Row],[Pepsico]]</f>
        <v>3321.58</v>
      </c>
      <c r="P37" s="24">
        <f t="shared" si="0"/>
        <v>0.24064258680746739</v>
      </c>
      <c r="Q37" s="24"/>
      <c r="R37" s="23">
        <v>3781.49</v>
      </c>
      <c r="S37" s="25">
        <f t="shared" si="1"/>
        <v>0.27396225157502446</v>
      </c>
      <c r="T37" s="25"/>
      <c r="U37" s="26">
        <f>Table24[[#This Row],[WagesPercent]]+Table24[[#This Row],[FoodCostPercent]]</f>
        <v>0.51460483838249182</v>
      </c>
      <c r="V37" s="26"/>
    </row>
    <row r="38" spans="1:22" x14ac:dyDescent="0.25">
      <c r="A38" s="20">
        <v>37</v>
      </c>
      <c r="B38" s="21" t="s">
        <v>80</v>
      </c>
      <c r="C38" s="21" t="s">
        <v>77</v>
      </c>
      <c r="D38" s="6" t="s">
        <v>81</v>
      </c>
      <c r="E38" s="22">
        <v>3804006</v>
      </c>
      <c r="F38" s="6" t="s">
        <v>11</v>
      </c>
      <c r="G38" s="6" t="s">
        <v>7</v>
      </c>
      <c r="H38" s="5" t="s">
        <v>41</v>
      </c>
      <c r="I38" s="28">
        <v>8573.7950000000001</v>
      </c>
      <c r="J38" s="28">
        <v>9700.2099999999991</v>
      </c>
      <c r="K38" s="23">
        <v>629</v>
      </c>
      <c r="L38" s="23"/>
      <c r="M38" s="23">
        <f>3054.49+115.64</f>
        <v>3170.1299999999997</v>
      </c>
      <c r="N38" s="23">
        <v>0</v>
      </c>
      <c r="O38" s="23">
        <f>+Table24[[#This Row],[FoodcostBlueline]]+Table24[[#This Row],[Pepsico]]</f>
        <v>3170.1299999999997</v>
      </c>
      <c r="P38" s="24">
        <f t="shared" si="0"/>
        <v>0.36974641917610573</v>
      </c>
      <c r="Q38" s="24"/>
      <c r="R38" s="23">
        <v>2654.79</v>
      </c>
      <c r="S38" s="25">
        <f t="shared" si="1"/>
        <v>0.30964001355292492</v>
      </c>
      <c r="T38" s="25"/>
      <c r="U38" s="26">
        <f>Table24[[#This Row],[WagesPercent]]+Table24[[#This Row],[FoodCostPercent]]</f>
        <v>0.67938643272903065</v>
      </c>
      <c r="V38" s="26"/>
    </row>
    <row r="39" spans="1:22" x14ac:dyDescent="0.25">
      <c r="A39" s="20">
        <v>38</v>
      </c>
      <c r="B39" s="21" t="s">
        <v>80</v>
      </c>
      <c r="C39" s="21" t="s">
        <v>77</v>
      </c>
      <c r="D39" s="6" t="s">
        <v>81</v>
      </c>
      <c r="E39" s="22">
        <v>3804008</v>
      </c>
      <c r="F39" s="22" t="s">
        <v>12</v>
      </c>
      <c r="G39" s="5" t="s">
        <v>42</v>
      </c>
      <c r="H39" s="5" t="s">
        <v>41</v>
      </c>
      <c r="I39" s="28">
        <v>21936.91</v>
      </c>
      <c r="J39" s="28">
        <v>17456.86</v>
      </c>
      <c r="K39" s="23">
        <v>1397</v>
      </c>
      <c r="L39" s="23"/>
      <c r="M39" s="23">
        <f>-12.35+85.22+7278.03</f>
        <v>7350.9</v>
      </c>
      <c r="N39" s="23">
        <v>727.22</v>
      </c>
      <c r="O39" s="23">
        <f>+Table24[[#This Row],[FoodcostBlueline]]+Table24[[#This Row],[Pepsico]]</f>
        <v>8078.12</v>
      </c>
      <c r="P39" s="24">
        <f t="shared" si="0"/>
        <v>0.36824329406466089</v>
      </c>
      <c r="Q39" s="24"/>
      <c r="R39" s="23">
        <f>4177.12-3421+3715</f>
        <v>4471.12</v>
      </c>
      <c r="S39" s="25">
        <f t="shared" si="1"/>
        <v>0.20381721947165757</v>
      </c>
      <c r="T39" s="25"/>
      <c r="U39" s="26">
        <f>Table24[[#This Row],[WagesPercent]]+Table24[[#This Row],[FoodCostPercent]]</f>
        <v>0.57206051353631848</v>
      </c>
      <c r="V39" s="26"/>
    </row>
    <row r="40" spans="1:22" x14ac:dyDescent="0.25">
      <c r="A40" s="20">
        <v>39</v>
      </c>
      <c r="B40" s="21" t="s">
        <v>80</v>
      </c>
      <c r="C40" s="21" t="s">
        <v>77</v>
      </c>
      <c r="D40" s="6" t="s">
        <v>81</v>
      </c>
      <c r="E40" s="22">
        <v>3804009</v>
      </c>
      <c r="F40" s="6" t="s">
        <v>13</v>
      </c>
      <c r="G40" s="5" t="s">
        <v>42</v>
      </c>
      <c r="H40" s="5" t="s">
        <v>41</v>
      </c>
      <c r="I40" s="28">
        <v>14537.46</v>
      </c>
      <c r="J40" s="28">
        <v>13105.93</v>
      </c>
      <c r="K40" s="23">
        <v>872</v>
      </c>
      <c r="L40" s="23"/>
      <c r="M40" s="23">
        <v>4310.5</v>
      </c>
      <c r="N40" s="23">
        <v>614.51</v>
      </c>
      <c r="O40" s="23">
        <f>+Table24[[#This Row],[FoodcostBlueline]]+Table24[[#This Row],[Pepsico]]</f>
        <v>4925.01</v>
      </c>
      <c r="P40" s="24">
        <f t="shared" si="0"/>
        <v>0.33878063980915513</v>
      </c>
      <c r="Q40" s="24"/>
      <c r="R40" s="23">
        <v>4250</v>
      </c>
      <c r="S40" s="25">
        <f t="shared" si="1"/>
        <v>0.29234818186946004</v>
      </c>
      <c r="T40" s="25"/>
      <c r="U40" s="26">
        <f>Table24[[#This Row],[WagesPercent]]+Table24[[#This Row],[FoodCostPercent]]</f>
        <v>0.63112882167861517</v>
      </c>
      <c r="V40" s="26"/>
    </row>
    <row r="41" spans="1:22" x14ac:dyDescent="0.25">
      <c r="A41" s="20">
        <v>40</v>
      </c>
      <c r="B41" s="21" t="s">
        <v>80</v>
      </c>
      <c r="C41" s="21" t="s">
        <v>77</v>
      </c>
      <c r="D41" s="6" t="s">
        <v>81</v>
      </c>
      <c r="E41" s="6">
        <v>3804010</v>
      </c>
      <c r="F41" s="22" t="s">
        <v>14</v>
      </c>
      <c r="G41" s="5" t="s">
        <v>42</v>
      </c>
      <c r="H41" s="5" t="s">
        <v>41</v>
      </c>
      <c r="I41" s="28">
        <v>8129.42</v>
      </c>
      <c r="J41" s="28">
        <v>8136.86</v>
      </c>
      <c r="K41" s="23">
        <v>474</v>
      </c>
      <c r="L41" s="23"/>
      <c r="M41" s="23">
        <v>2684.46</v>
      </c>
      <c r="N41" s="23">
        <v>325.22000000000003</v>
      </c>
      <c r="O41" s="23">
        <f>+Table24[[#This Row],[FoodcostBlueline]]+Table24[[#This Row],[Pepsico]]</f>
        <v>3009.6800000000003</v>
      </c>
      <c r="P41" s="24">
        <f t="shared" si="0"/>
        <v>0.37022075375611058</v>
      </c>
      <c r="Q41" s="24"/>
      <c r="R41" s="23">
        <v>2148</v>
      </c>
      <c r="S41" s="25">
        <f t="shared" si="1"/>
        <v>0.26422549210152751</v>
      </c>
      <c r="T41" s="25"/>
      <c r="U41" s="26">
        <f>Table24[[#This Row],[WagesPercent]]+Table24[[#This Row],[FoodCostPercent]]</f>
        <v>0.63444624585763809</v>
      </c>
      <c r="V41" s="26"/>
    </row>
    <row r="42" spans="1:22" x14ac:dyDescent="0.25">
      <c r="A42" s="20">
        <v>41</v>
      </c>
      <c r="B42" s="21" t="s">
        <v>80</v>
      </c>
      <c r="C42" s="21" t="s">
        <v>77</v>
      </c>
      <c r="D42" s="6" t="s">
        <v>81</v>
      </c>
      <c r="E42" s="22">
        <v>3804011</v>
      </c>
      <c r="F42" s="6" t="s">
        <v>15</v>
      </c>
      <c r="G42" s="6" t="s">
        <v>16</v>
      </c>
      <c r="H42" s="5" t="s">
        <v>41</v>
      </c>
      <c r="I42" s="28">
        <v>22744.27</v>
      </c>
      <c r="J42" s="28">
        <v>22296.959999999999</v>
      </c>
      <c r="K42" s="23">
        <v>1536</v>
      </c>
      <c r="L42" s="23"/>
      <c r="M42" s="23">
        <f>7002.94+1098.68</f>
        <v>8101.62</v>
      </c>
      <c r="N42" s="23">
        <v>583.12</v>
      </c>
      <c r="O42" s="23">
        <f>+Table24[[#This Row],[FoodcostBlueline]]+Table24[[#This Row],[Pepsico]]</f>
        <v>8684.74</v>
      </c>
      <c r="P42" s="24">
        <f t="shared" si="0"/>
        <v>0.38184298726668298</v>
      </c>
      <c r="Q42" s="24"/>
      <c r="R42" s="23">
        <f>3625.38+1096.15</f>
        <v>4721.5300000000007</v>
      </c>
      <c r="S42" s="25">
        <f t="shared" si="1"/>
        <v>0.20759206604564581</v>
      </c>
      <c r="T42" s="25"/>
      <c r="U42" s="26">
        <f>Table24[[#This Row],[WagesPercent]]+Table24[[#This Row],[FoodCostPercent]]</f>
        <v>0.58943505331232882</v>
      </c>
      <c r="V42" s="26"/>
    </row>
    <row r="43" spans="1:22" x14ac:dyDescent="0.25">
      <c r="A43" s="20">
        <v>42</v>
      </c>
      <c r="B43" s="21" t="s">
        <v>80</v>
      </c>
      <c r="C43" s="21" t="s">
        <v>77</v>
      </c>
      <c r="D43" s="6" t="s">
        <v>81</v>
      </c>
      <c r="E43" s="22">
        <v>3804013</v>
      </c>
      <c r="F43" s="6" t="s">
        <v>17</v>
      </c>
      <c r="G43" s="6" t="s">
        <v>16</v>
      </c>
      <c r="H43" s="5" t="s">
        <v>41</v>
      </c>
      <c r="I43" s="28">
        <v>9005.4500000000007</v>
      </c>
      <c r="J43" s="28">
        <v>6995.85</v>
      </c>
      <c r="K43" s="23">
        <v>549</v>
      </c>
      <c r="L43" s="23"/>
      <c r="M43" s="23">
        <v>2599.36</v>
      </c>
      <c r="N43" s="23">
        <v>0</v>
      </c>
      <c r="O43" s="23">
        <f>+Table24[[#This Row],[FoodcostBlueline]]+Table24[[#This Row],[Pepsico]]</f>
        <v>2599.36</v>
      </c>
      <c r="P43" s="24">
        <f t="shared" si="0"/>
        <v>0.28864298841257235</v>
      </c>
      <c r="Q43" s="24"/>
      <c r="R43" s="23">
        <v>2439.2600000000002</v>
      </c>
      <c r="S43" s="25">
        <f t="shared" si="1"/>
        <v>0.27086486516498343</v>
      </c>
      <c r="T43" s="25"/>
      <c r="U43" s="26">
        <f>Table24[[#This Row],[WagesPercent]]+Table24[[#This Row],[FoodCostPercent]]</f>
        <v>0.55950785357755572</v>
      </c>
      <c r="V43" s="26"/>
    </row>
    <row r="44" spans="1:22" x14ac:dyDescent="0.25">
      <c r="A44" s="20">
        <v>43</v>
      </c>
      <c r="B44" s="21" t="s">
        <v>80</v>
      </c>
      <c r="C44" s="21" t="s">
        <v>77</v>
      </c>
      <c r="D44" s="6" t="s">
        <v>81</v>
      </c>
      <c r="E44" s="22">
        <v>3804014</v>
      </c>
      <c r="F44" s="22" t="s">
        <v>18</v>
      </c>
      <c r="G44" s="22" t="s">
        <v>16</v>
      </c>
      <c r="H44" s="5" t="s">
        <v>41</v>
      </c>
      <c r="I44" s="28">
        <v>7248.25</v>
      </c>
      <c r="J44" s="28">
        <v>8455.91</v>
      </c>
      <c r="K44" s="23">
        <v>461</v>
      </c>
      <c r="L44" s="23"/>
      <c r="M44" s="23">
        <f>3352.39-15.92</f>
        <v>3336.47</v>
      </c>
      <c r="N44" s="23">
        <v>0</v>
      </c>
      <c r="O44" s="23">
        <f>+Table24[[#This Row],[FoodcostBlueline]]+Table24[[#This Row],[Pepsico]]</f>
        <v>3336.47</v>
      </c>
      <c r="P44" s="24">
        <f t="shared" si="0"/>
        <v>0.46031386886489839</v>
      </c>
      <c r="Q44" s="24"/>
      <c r="R44" s="23">
        <v>1376.56</v>
      </c>
      <c r="S44" s="25">
        <f t="shared" si="1"/>
        <v>0.18991618666574689</v>
      </c>
      <c r="T44" s="25"/>
      <c r="U44" s="26">
        <f>Table24[[#This Row],[WagesPercent]]+Table24[[#This Row],[FoodCostPercent]]</f>
        <v>0.65023005553064528</v>
      </c>
      <c r="V44" s="26"/>
    </row>
    <row r="45" spans="1:22" x14ac:dyDescent="0.25">
      <c r="A45" s="20">
        <v>44</v>
      </c>
      <c r="B45" s="21" t="s">
        <v>80</v>
      </c>
      <c r="C45" s="21" t="s">
        <v>77</v>
      </c>
      <c r="D45" s="6" t="s">
        <v>81</v>
      </c>
      <c r="E45" s="6">
        <v>3804015</v>
      </c>
      <c r="F45" s="6" t="s">
        <v>19</v>
      </c>
      <c r="G45" s="6" t="s">
        <v>20</v>
      </c>
      <c r="H45" s="5" t="s">
        <v>41</v>
      </c>
      <c r="I45" s="28">
        <v>13200.31</v>
      </c>
      <c r="J45" s="28">
        <v>16177.77</v>
      </c>
      <c r="K45" s="23">
        <v>886</v>
      </c>
      <c r="L45" s="23"/>
      <c r="M45" s="23">
        <v>4128.9799999999996</v>
      </c>
      <c r="N45" s="23">
        <v>192.2</v>
      </c>
      <c r="O45" s="23">
        <f>+Table24[[#This Row],[FoodcostBlueline]]+Table24[[#This Row],[Pepsico]]</f>
        <v>4321.1799999999994</v>
      </c>
      <c r="P45" s="24">
        <f t="shared" si="0"/>
        <v>0.3273544333428533</v>
      </c>
      <c r="Q45" s="24"/>
      <c r="R45" s="23">
        <v>4084.23</v>
      </c>
      <c r="S45" s="25">
        <f t="shared" si="1"/>
        <v>0.30940409732801732</v>
      </c>
      <c r="T45" s="25"/>
      <c r="U45" s="26">
        <f>Table24[[#This Row],[WagesPercent]]+Table24[[#This Row],[FoodCostPercent]]</f>
        <v>0.63675853067087063</v>
      </c>
      <c r="V45" s="26"/>
    </row>
    <row r="46" spans="1:22" x14ac:dyDescent="0.25">
      <c r="A46" s="20">
        <v>45</v>
      </c>
      <c r="B46" s="21" t="s">
        <v>80</v>
      </c>
      <c r="C46" s="21" t="s">
        <v>77</v>
      </c>
      <c r="D46" s="6" t="s">
        <v>81</v>
      </c>
      <c r="E46" s="22">
        <v>3804016</v>
      </c>
      <c r="F46" s="22" t="s">
        <v>21</v>
      </c>
      <c r="G46" s="22" t="s">
        <v>22</v>
      </c>
      <c r="H46" s="5" t="s">
        <v>40</v>
      </c>
      <c r="I46" s="28">
        <v>11808.05</v>
      </c>
      <c r="J46" s="28">
        <v>14548.36</v>
      </c>
      <c r="K46" s="23">
        <v>743</v>
      </c>
      <c r="L46" s="23"/>
      <c r="M46" s="23">
        <f>4227.72-12.35</f>
        <v>4215.37</v>
      </c>
      <c r="N46" s="23">
        <v>0</v>
      </c>
      <c r="O46" s="23">
        <f>+Table24[[#This Row],[FoodcostBlueline]]+Table24[[#This Row],[Pepsico]]</f>
        <v>4215.37</v>
      </c>
      <c r="P46" s="24">
        <f t="shared" si="0"/>
        <v>0.35699120515241722</v>
      </c>
      <c r="Q46" s="24"/>
      <c r="R46" s="23">
        <v>2832.63</v>
      </c>
      <c r="S46" s="25">
        <f t="shared" si="1"/>
        <v>0.23988973623926052</v>
      </c>
      <c r="T46" s="25"/>
      <c r="U46" s="26">
        <f>Table24[[#This Row],[WagesPercent]]+Table24[[#This Row],[FoodCostPercent]]</f>
        <v>0.5968809413916778</v>
      </c>
      <c r="V46" s="26"/>
    </row>
    <row r="47" spans="1:22" x14ac:dyDescent="0.25">
      <c r="A47" s="20">
        <v>46</v>
      </c>
      <c r="B47" s="21" t="s">
        <v>80</v>
      </c>
      <c r="C47" s="21" t="s">
        <v>77</v>
      </c>
      <c r="D47" s="6" t="s">
        <v>81</v>
      </c>
      <c r="E47" s="6">
        <v>3804017</v>
      </c>
      <c r="F47" s="6" t="s">
        <v>23</v>
      </c>
      <c r="G47" s="6" t="s">
        <v>22</v>
      </c>
      <c r="H47" s="5" t="s">
        <v>40</v>
      </c>
      <c r="I47" s="28">
        <v>15143.51</v>
      </c>
      <c r="J47" s="28">
        <v>17628.310000000001</v>
      </c>
      <c r="K47" s="23">
        <v>967</v>
      </c>
      <c r="L47" s="23"/>
      <c r="M47" s="23">
        <v>5642.66</v>
      </c>
      <c r="N47" s="23">
        <v>0</v>
      </c>
      <c r="O47" s="23">
        <f>+Table24[[#This Row],[FoodcostBlueline]]+Table24[[#This Row],[Pepsico]]</f>
        <v>5642.66</v>
      </c>
      <c r="P47" s="24">
        <f t="shared" si="0"/>
        <v>0.37261242604917882</v>
      </c>
      <c r="Q47" s="24"/>
      <c r="R47" s="23">
        <v>3474.26</v>
      </c>
      <c r="S47" s="25">
        <f t="shared" si="1"/>
        <v>0.22942237301655957</v>
      </c>
      <c r="T47" s="25"/>
      <c r="U47" s="26">
        <f>Table24[[#This Row],[WagesPercent]]+Table24[[#This Row],[FoodCostPercent]]</f>
        <v>0.60203479906573842</v>
      </c>
      <c r="V47" s="26"/>
    </row>
    <row r="48" spans="1:22" x14ac:dyDescent="0.25">
      <c r="A48" s="20">
        <v>47</v>
      </c>
      <c r="B48" s="21" t="s">
        <v>80</v>
      </c>
      <c r="C48" s="21" t="s">
        <v>77</v>
      </c>
      <c r="D48" s="6" t="s">
        <v>81</v>
      </c>
      <c r="E48" s="22">
        <v>3804018</v>
      </c>
      <c r="F48" s="22" t="s">
        <v>24</v>
      </c>
      <c r="G48" s="22" t="s">
        <v>20</v>
      </c>
      <c r="H48" s="5" t="s">
        <v>41</v>
      </c>
      <c r="I48" s="50">
        <v>15565.93</v>
      </c>
      <c r="J48" s="28">
        <v>19208.78</v>
      </c>
      <c r="K48" s="23">
        <v>1022</v>
      </c>
      <c r="L48" s="23"/>
      <c r="M48" s="23">
        <v>6551.09</v>
      </c>
      <c r="N48" s="23">
        <v>394</v>
      </c>
      <c r="O48" s="23">
        <f>+Table24[[#This Row],[FoodcostBlueline]]+Table24[[#This Row],[Pepsico]]</f>
        <v>6945.09</v>
      </c>
      <c r="P48" s="24">
        <f t="shared" si="0"/>
        <v>0.4461725062363765</v>
      </c>
      <c r="Q48" s="24"/>
      <c r="R48" s="23">
        <v>3912.53</v>
      </c>
      <c r="S48" s="25">
        <f t="shared" si="1"/>
        <v>0.25135215178277176</v>
      </c>
      <c r="T48" s="25"/>
      <c r="U48" s="26">
        <f>Table24[[#This Row],[WagesPercent]]+Table24[[#This Row],[FoodCostPercent]]</f>
        <v>0.69752465801914831</v>
      </c>
      <c r="V48" s="26"/>
    </row>
    <row r="49" spans="1:22" x14ac:dyDescent="0.25">
      <c r="A49" s="20">
        <v>48</v>
      </c>
      <c r="B49" s="21" t="s">
        <v>80</v>
      </c>
      <c r="C49" s="21" t="s">
        <v>77</v>
      </c>
      <c r="D49" s="6" t="s">
        <v>81</v>
      </c>
      <c r="E49" s="22">
        <v>3804019</v>
      </c>
      <c r="F49" s="6" t="s">
        <v>25</v>
      </c>
      <c r="G49" s="6" t="s">
        <v>20</v>
      </c>
      <c r="H49" s="5" t="s">
        <v>41</v>
      </c>
      <c r="I49" s="28">
        <v>11249.61</v>
      </c>
      <c r="J49" s="28">
        <v>12721.02</v>
      </c>
      <c r="K49" s="23">
        <v>716</v>
      </c>
      <c r="L49" s="23"/>
      <c r="M49" s="23">
        <f>3558.4-12.35</f>
        <v>3546.05</v>
      </c>
      <c r="N49" s="23">
        <v>286.89999999999998</v>
      </c>
      <c r="O49" s="23">
        <f>+Table24[[#This Row],[FoodcostBlueline]]+Table24[[#This Row],[Pepsico]]</f>
        <v>3832.9500000000003</v>
      </c>
      <c r="P49" s="24">
        <f t="shared" si="0"/>
        <v>0.34071847824057899</v>
      </c>
      <c r="Q49" s="24"/>
      <c r="R49" s="23">
        <v>3017.41</v>
      </c>
      <c r="S49" s="25">
        <f t="shared" si="1"/>
        <v>0.2682235206376043</v>
      </c>
      <c r="T49" s="25"/>
      <c r="U49" s="26">
        <f>Table24[[#This Row],[WagesPercent]]+Table24[[#This Row],[FoodCostPercent]]</f>
        <v>0.60894199887818323</v>
      </c>
      <c r="V49" s="26"/>
    </row>
    <row r="50" spans="1:22" x14ac:dyDescent="0.25">
      <c r="A50" s="20">
        <v>49</v>
      </c>
      <c r="B50" s="21" t="s">
        <v>80</v>
      </c>
      <c r="C50" s="21" t="s">
        <v>77</v>
      </c>
      <c r="D50" s="6" t="s">
        <v>81</v>
      </c>
      <c r="E50" s="6">
        <v>3804020</v>
      </c>
      <c r="F50" s="22" t="s">
        <v>26</v>
      </c>
      <c r="G50" s="22" t="s">
        <v>22</v>
      </c>
      <c r="H50" s="5" t="s">
        <v>40</v>
      </c>
      <c r="I50" s="28">
        <v>11256.26</v>
      </c>
      <c r="J50" s="28">
        <v>11553.57</v>
      </c>
      <c r="K50" s="23">
        <v>712</v>
      </c>
      <c r="L50" s="23"/>
      <c r="M50" s="23">
        <v>2624.26</v>
      </c>
      <c r="N50" s="23">
        <v>0</v>
      </c>
      <c r="O50" s="23">
        <f>+Table24[[#This Row],[FoodcostBlueline]]+Table24[[#This Row],[Pepsico]]</f>
        <v>2624.26</v>
      </c>
      <c r="P50" s="24">
        <f t="shared" si="0"/>
        <v>0.23313782730676089</v>
      </c>
      <c r="Q50" s="24"/>
      <c r="R50" s="23">
        <v>2231.5100000000002</v>
      </c>
      <c r="S50" s="25">
        <f t="shared" si="1"/>
        <v>0.1982461314859465</v>
      </c>
      <c r="T50" s="25"/>
      <c r="U50" s="26">
        <f>Table24[[#This Row],[WagesPercent]]+Table24[[#This Row],[FoodCostPercent]]</f>
        <v>0.43138395879270741</v>
      </c>
      <c r="V50" s="26"/>
    </row>
    <row r="51" spans="1:22" x14ac:dyDescent="0.25">
      <c r="A51" s="20">
        <v>50</v>
      </c>
      <c r="B51" s="21" t="s">
        <v>80</v>
      </c>
      <c r="C51" s="21" t="s">
        <v>77</v>
      </c>
      <c r="D51" s="6" t="s">
        <v>81</v>
      </c>
      <c r="E51" s="22">
        <v>3804021</v>
      </c>
      <c r="F51" s="6" t="s">
        <v>27</v>
      </c>
      <c r="G51" s="6" t="s">
        <v>22</v>
      </c>
      <c r="H51" s="5" t="s">
        <v>40</v>
      </c>
      <c r="I51" s="28">
        <v>18009.240000000002</v>
      </c>
      <c r="J51" s="28">
        <v>21261.200000000001</v>
      </c>
      <c r="K51" s="23">
        <v>1095</v>
      </c>
      <c r="L51" s="23"/>
      <c r="M51" s="23">
        <f>214.1+5654.75</f>
        <v>5868.85</v>
      </c>
      <c r="N51" s="23">
        <v>227.41</v>
      </c>
      <c r="O51" s="23">
        <f>+Table24[[#This Row],[FoodcostBlueline]]+Table24[[#This Row],[Pepsico]]</f>
        <v>6096.26</v>
      </c>
      <c r="P51" s="24">
        <f t="shared" si="0"/>
        <v>0.33850734400785371</v>
      </c>
      <c r="Q51" s="24"/>
      <c r="R51" s="23">
        <v>4058.72</v>
      </c>
      <c r="S51" s="25">
        <f t="shared" si="1"/>
        <v>0.22536875515013402</v>
      </c>
      <c r="T51" s="25"/>
      <c r="U51" s="26">
        <f>Table24[[#This Row],[WagesPercent]]+Table24[[#This Row],[FoodCostPercent]]</f>
        <v>0.56387609915798775</v>
      </c>
      <c r="V51" s="26"/>
    </row>
    <row r="52" spans="1:22" x14ac:dyDescent="0.25">
      <c r="A52" s="20">
        <v>51</v>
      </c>
      <c r="B52" s="21" t="s">
        <v>80</v>
      </c>
      <c r="C52" s="21" t="s">
        <v>77</v>
      </c>
      <c r="D52" s="6" t="s">
        <v>81</v>
      </c>
      <c r="E52" s="6">
        <v>3804022</v>
      </c>
      <c r="F52" s="22" t="s">
        <v>28</v>
      </c>
      <c r="G52" s="22" t="s">
        <v>22</v>
      </c>
      <c r="H52" s="5" t="s">
        <v>40</v>
      </c>
      <c r="I52" s="28">
        <v>13092</v>
      </c>
      <c r="J52" s="28">
        <v>12757.4</v>
      </c>
      <c r="K52" s="23">
        <v>746</v>
      </c>
      <c r="L52" s="23"/>
      <c r="M52" s="23">
        <v>4595.9799999999996</v>
      </c>
      <c r="N52" s="23">
        <v>606.02</v>
      </c>
      <c r="O52" s="23">
        <f>+Table24[[#This Row],[FoodcostBlueline]]+Table24[[#This Row],[Pepsico]]</f>
        <v>5202</v>
      </c>
      <c r="P52" s="24">
        <f t="shared" si="0"/>
        <v>0.39734188817598531</v>
      </c>
      <c r="Q52" s="24"/>
      <c r="R52" s="23">
        <v>2572.33</v>
      </c>
      <c r="S52" s="25">
        <f t="shared" si="1"/>
        <v>0.1964810571341277</v>
      </c>
      <c r="T52" s="25"/>
      <c r="U52" s="26">
        <f>Table24[[#This Row],[WagesPercent]]+Table24[[#This Row],[FoodCostPercent]]</f>
        <v>0.59382294531011304</v>
      </c>
      <c r="V52" s="26"/>
    </row>
    <row r="53" spans="1:22" x14ac:dyDescent="0.25">
      <c r="A53" s="20">
        <v>52</v>
      </c>
      <c r="B53" s="21" t="s">
        <v>80</v>
      </c>
      <c r="C53" s="21" t="s">
        <v>77</v>
      </c>
      <c r="D53" s="6" t="s">
        <v>81</v>
      </c>
      <c r="E53" s="22">
        <v>3804023</v>
      </c>
      <c r="F53" s="6" t="s">
        <v>29</v>
      </c>
      <c r="G53" s="6" t="s">
        <v>22</v>
      </c>
      <c r="H53" s="5" t="s">
        <v>40</v>
      </c>
      <c r="I53" s="28">
        <v>13103.99</v>
      </c>
      <c r="J53" s="28">
        <v>14666.84</v>
      </c>
      <c r="K53" s="23">
        <v>846</v>
      </c>
      <c r="L53" s="23"/>
      <c r="M53" s="23">
        <f>5027.96-24.7</f>
        <v>5003.26</v>
      </c>
      <c r="N53" s="23">
        <v>337.33</v>
      </c>
      <c r="O53" s="23">
        <f>+Table24[[#This Row],[FoodcostBlueline]]+Table24[[#This Row],[Pepsico]]</f>
        <v>5340.59</v>
      </c>
      <c r="P53" s="24">
        <f t="shared" si="0"/>
        <v>0.4075544929445154</v>
      </c>
      <c r="Q53" s="24"/>
      <c r="R53" s="23">
        <v>3083.12</v>
      </c>
      <c r="S53" s="25">
        <f t="shared" si="1"/>
        <v>0.23528100982983044</v>
      </c>
      <c r="T53" s="25"/>
      <c r="U53" s="26">
        <f>Table24[[#This Row],[WagesPercent]]+Table24[[#This Row],[FoodCostPercent]]</f>
        <v>0.64283550277434587</v>
      </c>
      <c r="V53" s="26"/>
    </row>
    <row r="54" spans="1:22" x14ac:dyDescent="0.25">
      <c r="A54" s="20">
        <v>53</v>
      </c>
      <c r="B54" s="21" t="s">
        <v>80</v>
      </c>
      <c r="C54" s="21" t="s">
        <v>77</v>
      </c>
      <c r="D54" s="6" t="s">
        <v>81</v>
      </c>
      <c r="E54" s="22">
        <v>3804024</v>
      </c>
      <c r="F54" s="22" t="s">
        <v>30</v>
      </c>
      <c r="G54" s="22" t="s">
        <v>20</v>
      </c>
      <c r="H54" s="5" t="s">
        <v>41</v>
      </c>
      <c r="I54" s="28">
        <v>9942.9</v>
      </c>
      <c r="J54" s="28">
        <v>10899.03</v>
      </c>
      <c r="K54" s="23">
        <v>610</v>
      </c>
      <c r="L54" s="23"/>
      <c r="M54" s="23">
        <f>140.49+2383.6</f>
        <v>2524.09</v>
      </c>
      <c r="N54" s="23">
        <v>458.75</v>
      </c>
      <c r="O54" s="23">
        <f>+Table24[[#This Row],[FoodcostBlueline]]+Table24[[#This Row],[Pepsico]]</f>
        <v>2982.84</v>
      </c>
      <c r="P54" s="24">
        <f t="shared" si="0"/>
        <v>0.29999698277162601</v>
      </c>
      <c r="Q54" s="24"/>
      <c r="R54" s="23">
        <f>3170.46+69.23</f>
        <v>3239.69</v>
      </c>
      <c r="S54" s="25">
        <f t="shared" si="1"/>
        <v>0.32582948636715647</v>
      </c>
      <c r="T54" s="25"/>
      <c r="U54" s="26">
        <f>Table24[[#This Row],[WagesPercent]]+Table24[[#This Row],[FoodCostPercent]]</f>
        <v>0.62582646913878248</v>
      </c>
      <c r="V54" s="26"/>
    </row>
    <row r="55" spans="1:22" x14ac:dyDescent="0.25">
      <c r="A55" s="20">
        <v>54</v>
      </c>
      <c r="B55" s="21" t="s">
        <v>80</v>
      </c>
      <c r="C55" s="21" t="s">
        <v>77</v>
      </c>
      <c r="D55" s="6" t="s">
        <v>81</v>
      </c>
      <c r="E55" s="22">
        <v>3804025</v>
      </c>
      <c r="F55" s="6" t="s">
        <v>31</v>
      </c>
      <c r="G55" s="6" t="s">
        <v>20</v>
      </c>
      <c r="H55" s="5" t="s">
        <v>41</v>
      </c>
      <c r="I55" s="28">
        <v>22075.56</v>
      </c>
      <c r="J55" s="28">
        <v>24608.57</v>
      </c>
      <c r="K55" s="23">
        <v>1427</v>
      </c>
      <c r="L55" s="23"/>
      <c r="M55" s="23">
        <v>7222.76</v>
      </c>
      <c r="N55" s="23">
        <v>447.97</v>
      </c>
      <c r="O55" s="23">
        <f>+Table24[[#This Row],[FoodcostBlueline]]+Table24[[#This Row],[Pepsico]]</f>
        <v>7670.7300000000005</v>
      </c>
      <c r="P55" s="24">
        <f t="shared" si="0"/>
        <v>0.34747612291602115</v>
      </c>
      <c r="Q55" s="24"/>
      <c r="R55" s="23">
        <v>5263.4</v>
      </c>
      <c r="S55" s="25">
        <f t="shared" si="1"/>
        <v>0.2384265676612507</v>
      </c>
      <c r="T55" s="25"/>
      <c r="U55" s="26">
        <f>Table24[[#This Row],[WagesPercent]]+Table24[[#This Row],[FoodCostPercent]]</f>
        <v>0.58590269057727185</v>
      </c>
      <c r="V55" s="26"/>
    </row>
    <row r="56" spans="1:22" x14ac:dyDescent="0.25">
      <c r="A56" s="20">
        <v>55</v>
      </c>
      <c r="B56" s="21" t="s">
        <v>80</v>
      </c>
      <c r="C56" s="21" t="s">
        <v>77</v>
      </c>
      <c r="D56" s="6" t="s">
        <v>81</v>
      </c>
      <c r="E56" s="6">
        <v>3804026</v>
      </c>
      <c r="F56" s="22" t="s">
        <v>32</v>
      </c>
      <c r="G56" s="22" t="s">
        <v>79</v>
      </c>
      <c r="H56" s="7" t="s">
        <v>41</v>
      </c>
      <c r="I56" s="28">
        <v>11744.97</v>
      </c>
      <c r="J56" s="28">
        <v>11601.12</v>
      </c>
      <c r="K56" s="23">
        <v>707</v>
      </c>
      <c r="L56" s="23"/>
      <c r="M56" s="23">
        <v>3589.95</v>
      </c>
      <c r="N56" s="23">
        <v>315.92</v>
      </c>
      <c r="O56" s="23">
        <f>+Table24[[#This Row],[FoodcostBlueline]]+Table24[[#This Row],[Pepsico]]</f>
        <v>3905.87</v>
      </c>
      <c r="P56" s="24">
        <f t="shared" si="0"/>
        <v>0.33255683071135983</v>
      </c>
      <c r="Q56" s="24"/>
      <c r="R56" s="23">
        <v>3594.78</v>
      </c>
      <c r="S56" s="25">
        <f t="shared" si="1"/>
        <v>0.30606974730459086</v>
      </c>
      <c r="T56" s="25"/>
      <c r="U56" s="26">
        <f>Table24[[#This Row],[WagesPercent]]+Table24[[#This Row],[FoodCostPercent]]</f>
        <v>0.63862657801595069</v>
      </c>
      <c r="V56" s="26"/>
    </row>
    <row r="57" spans="1:22" x14ac:dyDescent="0.25">
      <c r="A57" s="20">
        <v>56</v>
      </c>
      <c r="B57" s="21" t="s">
        <v>80</v>
      </c>
      <c r="C57" s="21" t="s">
        <v>77</v>
      </c>
      <c r="D57" s="6" t="s">
        <v>81</v>
      </c>
      <c r="E57" s="22">
        <v>3804027</v>
      </c>
      <c r="F57" s="6" t="s">
        <v>33</v>
      </c>
      <c r="G57" s="5" t="s">
        <v>43</v>
      </c>
      <c r="H57" s="5" t="s">
        <v>41</v>
      </c>
      <c r="I57" s="28">
        <v>15980.45</v>
      </c>
      <c r="J57" s="28">
        <v>12065.9</v>
      </c>
      <c r="K57" s="23">
        <v>1057</v>
      </c>
      <c r="L57" s="23"/>
      <c r="M57" s="23">
        <v>5280.21</v>
      </c>
      <c r="N57" s="23">
        <v>421.63</v>
      </c>
      <c r="O57" s="23">
        <f>+Table24[[#This Row],[FoodcostBlueline]]+Table24[[#This Row],[Pepsico]]</f>
        <v>5701.84</v>
      </c>
      <c r="P57" s="24">
        <f t="shared" si="0"/>
        <v>0.35680096618055185</v>
      </c>
      <c r="Q57" s="24"/>
      <c r="R57" s="23">
        <f>2166.5+277+1600</f>
        <v>4043.5</v>
      </c>
      <c r="S57" s="25">
        <f t="shared" si="1"/>
        <v>0.2530279184879024</v>
      </c>
      <c r="T57" s="25"/>
      <c r="U57" s="26">
        <f>Table24[[#This Row],[WagesPercent]]+Table24[[#This Row],[FoodCostPercent]]</f>
        <v>0.60982888466845431</v>
      </c>
      <c r="V57" s="26"/>
    </row>
    <row r="58" spans="1:22" x14ac:dyDescent="0.25">
      <c r="A58" s="20">
        <v>57</v>
      </c>
      <c r="B58" s="21" t="s">
        <v>80</v>
      </c>
      <c r="C58" s="21" t="s">
        <v>77</v>
      </c>
      <c r="D58" s="6" t="s">
        <v>81</v>
      </c>
      <c r="E58" s="6">
        <v>3804029</v>
      </c>
      <c r="F58" s="22" t="s">
        <v>34</v>
      </c>
      <c r="G58" s="22" t="s">
        <v>79</v>
      </c>
      <c r="H58" s="5" t="s">
        <v>41</v>
      </c>
      <c r="I58" s="28">
        <v>11211.91</v>
      </c>
      <c r="J58" s="28">
        <v>9517.52</v>
      </c>
      <c r="K58" s="23">
        <v>713</v>
      </c>
      <c r="L58" s="23"/>
      <c r="M58" s="23">
        <f>45.78+3731.48</f>
        <v>3777.26</v>
      </c>
      <c r="N58" s="23">
        <v>391.88</v>
      </c>
      <c r="O58" s="23">
        <f>+Table24[[#This Row],[FoodcostBlueline]]+Table24[[#This Row],[Pepsico]]</f>
        <v>4169.1400000000003</v>
      </c>
      <c r="P58" s="24">
        <f t="shared" si="0"/>
        <v>0.37184922105154256</v>
      </c>
      <c r="Q58" s="24"/>
      <c r="R58" s="23">
        <f>199.06+2370</f>
        <v>2569.06</v>
      </c>
      <c r="S58" s="25">
        <f t="shared" si="1"/>
        <v>0.22913669481827806</v>
      </c>
      <c r="T58" s="25"/>
      <c r="U58" s="26">
        <f>Table24[[#This Row],[WagesPercent]]+Table24[[#This Row],[FoodCostPercent]]</f>
        <v>0.60098591586982064</v>
      </c>
      <c r="V58" s="26"/>
    </row>
    <row r="59" spans="1:22" x14ac:dyDescent="0.25">
      <c r="A59" s="20">
        <v>58</v>
      </c>
      <c r="B59" s="21" t="s">
        <v>80</v>
      </c>
      <c r="C59" s="21" t="s">
        <v>77</v>
      </c>
      <c r="D59" s="6" t="s">
        <v>81</v>
      </c>
      <c r="E59" s="22">
        <v>3804030</v>
      </c>
      <c r="F59" s="6" t="s">
        <v>35</v>
      </c>
      <c r="G59" s="6" t="s">
        <v>5</v>
      </c>
      <c r="H59" s="5" t="s">
        <v>40</v>
      </c>
      <c r="I59" s="28">
        <v>8747.6</v>
      </c>
      <c r="J59" s="28">
        <v>8831.02</v>
      </c>
      <c r="K59" s="23">
        <v>529</v>
      </c>
      <c r="L59" s="23"/>
      <c r="M59" s="23">
        <f>2576.61-40.79</f>
        <v>2535.8200000000002</v>
      </c>
      <c r="N59" s="23">
        <v>149.37</v>
      </c>
      <c r="O59" s="23">
        <f>+Table24[[#This Row],[FoodcostBlueline]]+Table24[[#This Row],[Pepsico]]</f>
        <v>2685.19</v>
      </c>
      <c r="P59" s="24">
        <f t="shared" si="0"/>
        <v>0.30696305272303259</v>
      </c>
      <c r="Q59" s="24"/>
      <c r="R59" s="23">
        <f>2451.54+12.38</f>
        <v>2463.92</v>
      </c>
      <c r="S59" s="25">
        <f t="shared" si="1"/>
        <v>0.28166811468288444</v>
      </c>
      <c r="T59" s="25"/>
      <c r="U59" s="26">
        <f>Table24[[#This Row],[WagesPercent]]+Table24[[#This Row],[FoodCostPercent]]</f>
        <v>0.58863116740591703</v>
      </c>
      <c r="V59" s="26"/>
    </row>
    <row r="60" spans="1:22" x14ac:dyDescent="0.25">
      <c r="A60" s="20">
        <v>59</v>
      </c>
      <c r="B60" s="21" t="s">
        <v>80</v>
      </c>
      <c r="C60" s="21" t="s">
        <v>77</v>
      </c>
      <c r="D60" s="6" t="s">
        <v>81</v>
      </c>
      <c r="E60" s="22">
        <v>3804031</v>
      </c>
      <c r="F60" s="22" t="s">
        <v>36</v>
      </c>
      <c r="G60" s="22" t="s">
        <v>5</v>
      </c>
      <c r="H60" s="5" t="s">
        <v>40</v>
      </c>
      <c r="I60" s="28">
        <v>9715.7999999999993</v>
      </c>
      <c r="J60" s="28">
        <v>8878.48</v>
      </c>
      <c r="K60" s="23">
        <v>594</v>
      </c>
      <c r="L60" s="23"/>
      <c r="M60" s="23">
        <f>3177.41+214.36</f>
        <v>3391.77</v>
      </c>
      <c r="N60" s="23">
        <v>288.67</v>
      </c>
      <c r="O60" s="23">
        <f>+Table24[[#This Row],[FoodcostBlueline]]+Table24[[#This Row],[Pepsico]]</f>
        <v>3680.44</v>
      </c>
      <c r="P60" s="24">
        <f t="shared" si="0"/>
        <v>0.37880977377055935</v>
      </c>
      <c r="Q60" s="24"/>
      <c r="R60" s="37">
        <f>1661.35+840</f>
        <v>2501.35</v>
      </c>
      <c r="S60" s="25">
        <f t="shared" si="1"/>
        <v>0.25745177957553678</v>
      </c>
      <c r="T60" s="25"/>
      <c r="U60" s="26">
        <f>Table24[[#This Row],[WagesPercent]]+Table24[[#This Row],[FoodCostPercent]]</f>
        <v>0.63626155334609613</v>
      </c>
      <c r="V60" s="26"/>
    </row>
    <row r="61" spans="1:22" x14ac:dyDescent="0.25">
      <c r="A61" s="20">
        <v>60</v>
      </c>
      <c r="B61" s="21" t="s">
        <v>80</v>
      </c>
      <c r="C61" s="21" t="s">
        <v>77</v>
      </c>
      <c r="D61" s="6" t="s">
        <v>81</v>
      </c>
      <c r="E61" s="22">
        <v>3804032</v>
      </c>
      <c r="F61" s="6" t="s">
        <v>37</v>
      </c>
      <c r="G61" s="6" t="s">
        <v>5</v>
      </c>
      <c r="H61" s="5" t="s">
        <v>40</v>
      </c>
      <c r="I61" s="28">
        <v>6173.73</v>
      </c>
      <c r="J61" s="28">
        <v>5948.83</v>
      </c>
      <c r="K61" s="23">
        <v>374</v>
      </c>
      <c r="L61" s="23"/>
      <c r="M61" s="23">
        <f>-17.59-2082.98+2114.78+2082.98</f>
        <v>2097.19</v>
      </c>
      <c r="N61" s="23">
        <v>0</v>
      </c>
      <c r="O61" s="23">
        <f>+Table24[[#This Row],[FoodcostBlueline]]+Table24[[#This Row],[Pepsico]]</f>
        <v>2097.19</v>
      </c>
      <c r="P61" s="24">
        <f t="shared" si="0"/>
        <v>0.33969577548742824</v>
      </c>
      <c r="Q61" s="24"/>
      <c r="R61" s="23">
        <f>1100+850+200</f>
        <v>2150</v>
      </c>
      <c r="S61" s="25">
        <f t="shared" si="1"/>
        <v>0.34824976148940756</v>
      </c>
      <c r="T61" s="25"/>
      <c r="U61" s="26">
        <f>Table24[[#This Row],[WagesPercent]]+Table24[[#This Row],[FoodCostPercent]]</f>
        <v>0.6879455369768358</v>
      </c>
      <c r="V61" s="26"/>
    </row>
    <row r="62" spans="1:22" x14ac:dyDescent="0.25">
      <c r="A62" s="20">
        <v>61</v>
      </c>
      <c r="B62" s="21" t="s">
        <v>80</v>
      </c>
      <c r="C62" s="21" t="s">
        <v>77</v>
      </c>
      <c r="D62" s="6" t="s">
        <v>81</v>
      </c>
      <c r="E62" s="6">
        <v>3804033</v>
      </c>
      <c r="F62" s="22" t="s">
        <v>38</v>
      </c>
      <c r="G62" s="22" t="s">
        <v>5</v>
      </c>
      <c r="H62" s="5" t="s">
        <v>40</v>
      </c>
      <c r="I62" s="28">
        <v>6448.29</v>
      </c>
      <c r="J62" s="28">
        <v>6510.19</v>
      </c>
      <c r="K62" s="23">
        <v>469</v>
      </c>
      <c r="L62" s="23"/>
      <c r="M62" s="23">
        <v>2352.56</v>
      </c>
      <c r="N62" s="23">
        <v>0</v>
      </c>
      <c r="O62" s="23">
        <f>+Table24[[#This Row],[FoodcostBlueline]]+Table24[[#This Row],[Pepsico]]</f>
        <v>2352.56</v>
      </c>
      <c r="P62" s="24">
        <f t="shared" si="0"/>
        <v>0.36483470811641533</v>
      </c>
      <c r="Q62" s="24"/>
      <c r="R62" s="23">
        <f>1100+850+165.58</f>
        <v>2115.58</v>
      </c>
      <c r="S62" s="25">
        <f t="shared" si="1"/>
        <v>0.3280838796021891</v>
      </c>
      <c r="T62" s="25"/>
      <c r="U62" s="26">
        <f>Table24[[#This Row],[WagesPercent]]+Table24[[#This Row],[FoodCostPercent]]</f>
        <v>0.69291858771860437</v>
      </c>
      <c r="V62" s="26"/>
    </row>
    <row r="63" spans="1:22" x14ac:dyDescent="0.25">
      <c r="A63" s="20">
        <v>62</v>
      </c>
      <c r="B63" s="21" t="s">
        <v>80</v>
      </c>
      <c r="C63" s="21" t="s">
        <v>77</v>
      </c>
      <c r="D63" s="6" t="s">
        <v>81</v>
      </c>
      <c r="E63" s="22">
        <v>3804034</v>
      </c>
      <c r="F63" s="6" t="s">
        <v>53</v>
      </c>
      <c r="G63" s="22" t="s">
        <v>79</v>
      </c>
      <c r="H63" s="5" t="s">
        <v>41</v>
      </c>
      <c r="I63" s="28">
        <v>8133.73</v>
      </c>
      <c r="J63" s="28">
        <v>0</v>
      </c>
      <c r="K63" s="23">
        <v>465</v>
      </c>
      <c r="L63" s="23"/>
      <c r="M63" s="23">
        <v>1888.71</v>
      </c>
      <c r="N63" s="23">
        <v>186.42</v>
      </c>
      <c r="O63" s="23">
        <f>+Table24[[#This Row],[FoodcostBlueline]]+Table24[[#This Row],[Pepsico]]</f>
        <v>2075.13</v>
      </c>
      <c r="P63" s="24">
        <f t="shared" si="0"/>
        <v>0.25512649178175328</v>
      </c>
      <c r="Q63" s="24"/>
      <c r="R63" s="23">
        <f>318.8+2400</f>
        <v>2718.8</v>
      </c>
      <c r="S63" s="25">
        <f t="shared" si="1"/>
        <v>0.33426238638361494</v>
      </c>
      <c r="T63" s="25"/>
      <c r="U63" s="26">
        <f>Table24[[#This Row],[WagesPercent]]+Table24[[#This Row],[FoodCostPercent]]</f>
        <v>0.58938887816536822</v>
      </c>
      <c r="V63" s="26"/>
    </row>
    <row r="64" spans="1:22" x14ac:dyDescent="0.25">
      <c r="A64" s="20">
        <v>63</v>
      </c>
      <c r="B64" s="21" t="s">
        <v>82</v>
      </c>
      <c r="C64" s="21" t="s">
        <v>77</v>
      </c>
      <c r="D64" s="6" t="s">
        <v>83</v>
      </c>
      <c r="E64" s="22">
        <v>3804001</v>
      </c>
      <c r="F64" s="22" t="s">
        <v>4</v>
      </c>
      <c r="G64" s="22" t="s">
        <v>5</v>
      </c>
      <c r="H64" s="5" t="s">
        <v>40</v>
      </c>
      <c r="I64" s="23">
        <v>25590.78</v>
      </c>
      <c r="J64" s="23">
        <v>26707.439999999999</v>
      </c>
      <c r="K64" s="23">
        <v>1710</v>
      </c>
      <c r="L64" s="23"/>
      <c r="M64" s="23">
        <f>7331.68+351.52-240</f>
        <v>7443.2000000000007</v>
      </c>
      <c r="N64" s="23">
        <v>601.11</v>
      </c>
      <c r="O64" s="23">
        <f>+Table24[[#This Row],[FoodcostBlueline]]+Table24[[#This Row],[Pepsico]]</f>
        <v>8044.31</v>
      </c>
      <c r="P64" s="24">
        <f t="shared" si="0"/>
        <v>0.31434407235730999</v>
      </c>
      <c r="Q64" s="24"/>
      <c r="R64" s="23">
        <f>4431.98+1440+165.58</f>
        <v>6037.5599999999995</v>
      </c>
      <c r="S64" s="25">
        <f t="shared" si="1"/>
        <v>0.23592715814054904</v>
      </c>
      <c r="T64" s="25"/>
      <c r="U64" s="26">
        <f>Table24[[#This Row],[WagesPercent]]+Table24[[#This Row],[FoodCostPercent]]</f>
        <v>0.55027123049785898</v>
      </c>
      <c r="V64" s="26"/>
    </row>
    <row r="65" spans="1:22" x14ac:dyDescent="0.25">
      <c r="A65" s="20">
        <v>64</v>
      </c>
      <c r="B65" s="21" t="s">
        <v>82</v>
      </c>
      <c r="C65" s="21" t="s">
        <v>77</v>
      </c>
      <c r="D65" s="6" t="s">
        <v>83</v>
      </c>
      <c r="E65" s="6">
        <v>3804002</v>
      </c>
      <c r="F65" s="6" t="s">
        <v>6</v>
      </c>
      <c r="G65" s="6" t="s">
        <v>7</v>
      </c>
      <c r="H65" s="5" t="s">
        <v>41</v>
      </c>
      <c r="I65" s="23">
        <f>11470.9-36.95</f>
        <v>11433.949999999999</v>
      </c>
      <c r="J65" s="23">
        <v>11194.49</v>
      </c>
      <c r="K65" s="23">
        <v>905</v>
      </c>
      <c r="L65" s="23"/>
      <c r="M65" s="23">
        <f>4341.72-132+369.05</f>
        <v>4578.7700000000004</v>
      </c>
      <c r="N65" s="23">
        <v>566.03</v>
      </c>
      <c r="O65" s="23">
        <f>+Table24[[#This Row],[FoodcostBlueline]]+Table24[[#This Row],[Pepsico]]</f>
        <v>5144.8</v>
      </c>
      <c r="P65" s="24">
        <f t="shared" si="0"/>
        <v>0.44995823840405114</v>
      </c>
      <c r="Q65" s="24"/>
      <c r="R65" s="23">
        <v>3578.76</v>
      </c>
      <c r="S65" s="25">
        <f t="shared" si="1"/>
        <v>0.31299419710598703</v>
      </c>
      <c r="T65" s="25"/>
      <c r="U65" s="26">
        <f>Table24[[#This Row],[WagesPercent]]+Table24[[#This Row],[FoodCostPercent]]</f>
        <v>0.76295243551003811</v>
      </c>
      <c r="V65" s="26"/>
    </row>
    <row r="66" spans="1:22" x14ac:dyDescent="0.25">
      <c r="A66" s="20">
        <v>65</v>
      </c>
      <c r="B66" s="21" t="s">
        <v>82</v>
      </c>
      <c r="C66" s="21" t="s">
        <v>77</v>
      </c>
      <c r="D66" s="6" t="s">
        <v>83</v>
      </c>
      <c r="E66" s="22">
        <v>3804003</v>
      </c>
      <c r="F66" s="22" t="s">
        <v>8</v>
      </c>
      <c r="G66" s="22" t="s">
        <v>7</v>
      </c>
      <c r="H66" s="5" t="s">
        <v>41</v>
      </c>
      <c r="I66" s="23">
        <v>11761.54</v>
      </c>
      <c r="J66" s="23">
        <v>4924.72</v>
      </c>
      <c r="K66" s="23">
        <v>732</v>
      </c>
      <c r="L66" s="23"/>
      <c r="M66" s="23">
        <f>148.32-87+3473.79-12.38</f>
        <v>3522.73</v>
      </c>
      <c r="N66" s="23">
        <v>255.29</v>
      </c>
      <c r="O66" s="23">
        <f>+Table24[[#This Row],[FoodcostBlueline]]+Table24[[#This Row],[Pepsico]]</f>
        <v>3778.02</v>
      </c>
      <c r="P66" s="24">
        <f t="shared" ref="P66:P129" si="2">IFERROR(((M66+N66)/I66),0)</f>
        <v>0.32121813980142055</v>
      </c>
      <c r="Q66" s="24"/>
      <c r="R66" s="23">
        <v>3321.37</v>
      </c>
      <c r="S66" s="25">
        <f t="shared" ref="S66:S129" si="3">+R66/I66</f>
        <v>0.28239244180608997</v>
      </c>
      <c r="T66" s="25"/>
      <c r="U66" s="26">
        <f>Table24[[#This Row],[WagesPercent]]+Table24[[#This Row],[FoodCostPercent]]</f>
        <v>0.60361058160751058</v>
      </c>
      <c r="V66" s="26"/>
    </row>
    <row r="67" spans="1:22" x14ac:dyDescent="0.25">
      <c r="A67" s="20">
        <v>66</v>
      </c>
      <c r="B67" s="21" t="s">
        <v>82</v>
      </c>
      <c r="C67" s="21" t="s">
        <v>77</v>
      </c>
      <c r="D67" s="6" t="s">
        <v>83</v>
      </c>
      <c r="E67" s="22">
        <v>3804004</v>
      </c>
      <c r="F67" s="6" t="s">
        <v>9</v>
      </c>
      <c r="G67" s="6" t="s">
        <v>7</v>
      </c>
      <c r="H67" s="5" t="s">
        <v>41</v>
      </c>
      <c r="I67" s="23">
        <f>13907.11-13.97</f>
        <v>13893.140000000001</v>
      </c>
      <c r="J67" s="23">
        <v>10787.01</v>
      </c>
      <c r="K67" s="23">
        <v>972</v>
      </c>
      <c r="L67" s="23"/>
      <c r="M67" s="23">
        <f>208.53+3983.6-102</f>
        <v>4090.13</v>
      </c>
      <c r="N67" s="23">
        <v>675.81</v>
      </c>
      <c r="O67" s="23">
        <f>+Table24[[#This Row],[FoodcostBlueline]]+Table24[[#This Row],[Pepsico]]</f>
        <v>4765.9400000000005</v>
      </c>
      <c r="P67" s="24">
        <f t="shared" si="2"/>
        <v>0.34304268149604772</v>
      </c>
      <c r="Q67" s="24"/>
      <c r="R67" s="23">
        <v>4201.38</v>
      </c>
      <c r="S67" s="25">
        <f t="shared" si="3"/>
        <v>0.30240679932686204</v>
      </c>
      <c r="T67" s="25"/>
      <c r="U67" s="26">
        <f>Table24[[#This Row],[WagesPercent]]+Table24[[#This Row],[FoodCostPercent]]</f>
        <v>0.64544948082290976</v>
      </c>
      <c r="V67" s="26"/>
    </row>
    <row r="68" spans="1:22" x14ac:dyDescent="0.25">
      <c r="A68" s="20">
        <v>67</v>
      </c>
      <c r="B68" s="21" t="s">
        <v>82</v>
      </c>
      <c r="C68" s="21" t="s">
        <v>77</v>
      </c>
      <c r="D68" s="6" t="s">
        <v>83</v>
      </c>
      <c r="E68" s="6">
        <v>3804005</v>
      </c>
      <c r="F68" s="22" t="s">
        <v>10</v>
      </c>
      <c r="G68" s="22" t="s">
        <v>7</v>
      </c>
      <c r="H68" s="5" t="s">
        <v>41</v>
      </c>
      <c r="I68" s="23">
        <v>12116.79</v>
      </c>
      <c r="J68" s="23">
        <v>11595.31</v>
      </c>
      <c r="K68" s="23">
        <v>804</v>
      </c>
      <c r="L68" s="23"/>
      <c r="M68" s="23">
        <f>849.61+4052.94-171</f>
        <v>4731.55</v>
      </c>
      <c r="N68" s="23">
        <v>0</v>
      </c>
      <c r="O68" s="23">
        <f>+Table24[[#This Row],[FoodcostBlueline]]+Table24[[#This Row],[Pepsico]]</f>
        <v>4731.55</v>
      </c>
      <c r="P68" s="24">
        <f t="shared" si="2"/>
        <v>0.3904953374614894</v>
      </c>
      <c r="Q68" s="24"/>
      <c r="R68" s="23">
        <v>3640.57</v>
      </c>
      <c r="S68" s="25">
        <f t="shared" si="3"/>
        <v>0.30045663909335724</v>
      </c>
      <c r="T68" s="25"/>
      <c r="U68" s="26">
        <f>Table24[[#This Row],[WagesPercent]]+Table24[[#This Row],[FoodCostPercent]]</f>
        <v>0.69095197655484664</v>
      </c>
      <c r="V68" s="26"/>
    </row>
    <row r="69" spans="1:22" x14ac:dyDescent="0.25">
      <c r="A69" s="20">
        <v>68</v>
      </c>
      <c r="B69" s="21" t="s">
        <v>82</v>
      </c>
      <c r="C69" s="21" t="s">
        <v>77</v>
      </c>
      <c r="D69" s="6" t="s">
        <v>83</v>
      </c>
      <c r="E69" s="22">
        <v>3804006</v>
      </c>
      <c r="F69" s="6" t="s">
        <v>11</v>
      </c>
      <c r="G69" s="6" t="s">
        <v>7</v>
      </c>
      <c r="H69" s="5" t="s">
        <v>41</v>
      </c>
      <c r="I69" s="23">
        <f>7950.52-15.995</f>
        <v>7934.5250000000005</v>
      </c>
      <c r="J69" s="23">
        <v>8739.06</v>
      </c>
      <c r="K69" s="23">
        <v>590</v>
      </c>
      <c r="L69" s="23"/>
      <c r="M69" s="23">
        <f>562.52+2704.3-132</f>
        <v>3134.82</v>
      </c>
      <c r="N69" s="23">
        <v>419.61</v>
      </c>
      <c r="O69" s="23">
        <f>+Table24[[#This Row],[FoodcostBlueline]]+Table24[[#This Row],[Pepsico]]</f>
        <v>3554.4300000000003</v>
      </c>
      <c r="P69" s="24">
        <f t="shared" si="2"/>
        <v>0.44797010533081694</v>
      </c>
      <c r="Q69" s="24"/>
      <c r="R69" s="23">
        <v>2278.46</v>
      </c>
      <c r="S69" s="25">
        <f t="shared" si="3"/>
        <v>0.28715770635293225</v>
      </c>
      <c r="T69" s="25"/>
      <c r="U69" s="26">
        <f>Table24[[#This Row],[WagesPercent]]+Table24[[#This Row],[FoodCostPercent]]</f>
        <v>0.73512781168374919</v>
      </c>
      <c r="V69" s="26"/>
    </row>
    <row r="70" spans="1:22" x14ac:dyDescent="0.25">
      <c r="A70" s="20">
        <v>69</v>
      </c>
      <c r="B70" s="21" t="s">
        <v>82</v>
      </c>
      <c r="C70" s="21" t="s">
        <v>77</v>
      </c>
      <c r="D70" s="6" t="s">
        <v>83</v>
      </c>
      <c r="E70" s="22">
        <v>3804008</v>
      </c>
      <c r="F70" s="22" t="s">
        <v>12</v>
      </c>
      <c r="G70" s="5" t="s">
        <v>42</v>
      </c>
      <c r="H70" s="5" t="s">
        <v>41</v>
      </c>
      <c r="I70" s="23">
        <v>19949.18</v>
      </c>
      <c r="J70" s="23">
        <v>16441.509999999998</v>
      </c>
      <c r="K70" s="23">
        <v>1231</v>
      </c>
      <c r="L70" s="23"/>
      <c r="M70" s="23">
        <f>6150.44-201</f>
        <v>5949.44</v>
      </c>
      <c r="N70" s="23">
        <v>494.17</v>
      </c>
      <c r="O70" s="23">
        <f>+Table24[[#This Row],[FoodcostBlueline]]+Table24[[#This Row],[Pepsico]]</f>
        <v>6443.61</v>
      </c>
      <c r="P70" s="24">
        <f t="shared" si="2"/>
        <v>0.3230012461665091</v>
      </c>
      <c r="Q70" s="24"/>
      <c r="R70" s="23">
        <f>4083.16-3421+4014</f>
        <v>4676.16</v>
      </c>
      <c r="S70" s="25">
        <f t="shared" si="3"/>
        <v>0.23440361959739697</v>
      </c>
      <c r="T70" s="25"/>
      <c r="U70" s="26">
        <f>Table24[[#This Row],[WagesPercent]]+Table24[[#This Row],[FoodCostPercent]]</f>
        <v>0.55740486576390613</v>
      </c>
      <c r="V70" s="26"/>
    </row>
    <row r="71" spans="1:22" x14ac:dyDescent="0.25">
      <c r="A71" s="20">
        <v>70</v>
      </c>
      <c r="B71" s="21" t="s">
        <v>82</v>
      </c>
      <c r="C71" s="21" t="s">
        <v>77</v>
      </c>
      <c r="D71" s="6" t="s">
        <v>83</v>
      </c>
      <c r="E71" s="22">
        <v>3804009</v>
      </c>
      <c r="F71" s="6" t="s">
        <v>13</v>
      </c>
      <c r="G71" s="5" t="s">
        <v>42</v>
      </c>
      <c r="H71" s="5" t="s">
        <v>41</v>
      </c>
      <c r="I71" s="23">
        <v>14643.78</v>
      </c>
      <c r="J71" s="23">
        <v>12120.81</v>
      </c>
      <c r="K71" s="23">
        <v>849</v>
      </c>
      <c r="L71" s="23"/>
      <c r="M71" s="23">
        <f>6297.2-234-24.7</f>
        <v>6038.5</v>
      </c>
      <c r="N71" s="23">
        <v>0</v>
      </c>
      <c r="O71" s="23">
        <f>+Table24[[#This Row],[FoodcostBlueline]]+Table24[[#This Row],[Pepsico]]</f>
        <v>6038.5</v>
      </c>
      <c r="P71" s="24">
        <f t="shared" si="2"/>
        <v>0.41235937715535192</v>
      </c>
      <c r="Q71" s="24"/>
      <c r="R71" s="23">
        <v>3742</v>
      </c>
      <c r="S71" s="25">
        <f t="shared" si="3"/>
        <v>0.25553511456741357</v>
      </c>
      <c r="T71" s="25"/>
      <c r="U71" s="26">
        <f>Table24[[#This Row],[WagesPercent]]+Table24[[#This Row],[FoodCostPercent]]</f>
        <v>0.66789449172276549</v>
      </c>
      <c r="V71" s="26"/>
    </row>
    <row r="72" spans="1:22" x14ac:dyDescent="0.25">
      <c r="A72" s="20">
        <v>71</v>
      </c>
      <c r="B72" s="21" t="s">
        <v>82</v>
      </c>
      <c r="C72" s="21" t="s">
        <v>77</v>
      </c>
      <c r="D72" s="6" t="s">
        <v>83</v>
      </c>
      <c r="E72" s="6">
        <v>3804010</v>
      </c>
      <c r="F72" s="22" t="s">
        <v>14</v>
      </c>
      <c r="G72" s="5" t="s">
        <v>42</v>
      </c>
      <c r="H72" s="5" t="s">
        <v>41</v>
      </c>
      <c r="I72" s="23">
        <v>8646.51</v>
      </c>
      <c r="J72" s="23">
        <v>7959.14</v>
      </c>
      <c r="K72" s="23">
        <v>463</v>
      </c>
      <c r="L72" s="23"/>
      <c r="M72" s="23">
        <f>-75+2888.84</f>
        <v>2813.84</v>
      </c>
      <c r="N72" s="23">
        <v>0</v>
      </c>
      <c r="O72" s="23">
        <f>+Table24[[#This Row],[FoodcostBlueline]]+Table24[[#This Row],[Pepsico]]</f>
        <v>2813.84</v>
      </c>
      <c r="P72" s="24">
        <f t="shared" si="2"/>
        <v>0.32543072291595104</v>
      </c>
      <c r="Q72" s="24"/>
      <c r="R72" s="23">
        <v>1968</v>
      </c>
      <c r="S72" s="25">
        <f t="shared" si="3"/>
        <v>0.22760628276611025</v>
      </c>
      <c r="T72" s="25"/>
      <c r="U72" s="26">
        <f>Table24[[#This Row],[WagesPercent]]+Table24[[#This Row],[FoodCostPercent]]</f>
        <v>0.55303700568206127</v>
      </c>
      <c r="V72" s="26"/>
    </row>
    <row r="73" spans="1:22" x14ac:dyDescent="0.25">
      <c r="A73" s="20">
        <v>72</v>
      </c>
      <c r="B73" s="21" t="s">
        <v>82</v>
      </c>
      <c r="C73" s="21" t="s">
        <v>77</v>
      </c>
      <c r="D73" s="6" t="s">
        <v>83</v>
      </c>
      <c r="E73" s="22">
        <v>3804011</v>
      </c>
      <c r="F73" s="6" t="s">
        <v>15</v>
      </c>
      <c r="G73" s="6" t="s">
        <v>16</v>
      </c>
      <c r="H73" s="5" t="s">
        <v>41</v>
      </c>
      <c r="I73" s="23">
        <v>23652.17</v>
      </c>
      <c r="J73" s="23">
        <v>22828.87</v>
      </c>
      <c r="K73" s="23">
        <v>1511</v>
      </c>
      <c r="L73" s="23"/>
      <c r="M73" s="23">
        <f>6999.97-132</f>
        <v>6867.97</v>
      </c>
      <c r="N73" s="23">
        <v>484.05</v>
      </c>
      <c r="O73" s="23">
        <f>+Table24[[#This Row],[FoodcostBlueline]]+Table24[[#This Row],[Pepsico]]</f>
        <v>7352.02</v>
      </c>
      <c r="P73" s="24">
        <f t="shared" si="2"/>
        <v>0.31083913230794474</v>
      </c>
      <c r="Q73" s="24"/>
      <c r="R73" s="23">
        <f>4249.88+1096.15</f>
        <v>5346.0300000000007</v>
      </c>
      <c r="S73" s="25">
        <f t="shared" si="3"/>
        <v>0.22602704107065022</v>
      </c>
      <c r="T73" s="25"/>
      <c r="U73" s="26">
        <f>Table24[[#This Row],[WagesPercent]]+Table24[[#This Row],[FoodCostPercent]]</f>
        <v>0.53686617337859499</v>
      </c>
      <c r="V73" s="26"/>
    </row>
    <row r="74" spans="1:22" x14ac:dyDescent="0.25">
      <c r="A74" s="20">
        <v>73</v>
      </c>
      <c r="B74" s="21" t="s">
        <v>82</v>
      </c>
      <c r="C74" s="21" t="s">
        <v>77</v>
      </c>
      <c r="D74" s="6" t="s">
        <v>83</v>
      </c>
      <c r="E74" s="22">
        <v>3804013</v>
      </c>
      <c r="F74" s="6" t="s">
        <v>17</v>
      </c>
      <c r="G74" s="6" t="s">
        <v>16</v>
      </c>
      <c r="H74" s="5" t="s">
        <v>41</v>
      </c>
      <c r="I74" s="23">
        <v>7136.98</v>
      </c>
      <c r="J74" s="23">
        <v>5934.52</v>
      </c>
      <c r="K74" s="23">
        <v>455</v>
      </c>
      <c r="L74" s="23"/>
      <c r="M74" s="23">
        <f>2802.64-12.35-99</f>
        <v>2691.29</v>
      </c>
      <c r="N74" s="23">
        <v>418.41</v>
      </c>
      <c r="O74" s="23">
        <f>+Table24[[#This Row],[FoodcostBlueline]]+Table24[[#This Row],[Pepsico]]</f>
        <v>3109.7</v>
      </c>
      <c r="P74" s="24">
        <f t="shared" si="2"/>
        <v>0.43571650754240587</v>
      </c>
      <c r="Q74" s="24"/>
      <c r="R74" s="23">
        <v>2171.61</v>
      </c>
      <c r="S74" s="25">
        <f t="shared" si="3"/>
        <v>0.30427575809375956</v>
      </c>
      <c r="T74" s="25"/>
      <c r="U74" s="26">
        <f>Table24[[#This Row],[WagesPercent]]+Table24[[#This Row],[FoodCostPercent]]</f>
        <v>0.73999226563616549</v>
      </c>
      <c r="V74" s="26"/>
    </row>
    <row r="75" spans="1:22" x14ac:dyDescent="0.25">
      <c r="A75" s="20">
        <v>74</v>
      </c>
      <c r="B75" s="21" t="s">
        <v>82</v>
      </c>
      <c r="C75" s="21" t="s">
        <v>77</v>
      </c>
      <c r="D75" s="6" t="s">
        <v>83</v>
      </c>
      <c r="E75" s="22">
        <v>3804014</v>
      </c>
      <c r="F75" s="22" t="s">
        <v>18</v>
      </c>
      <c r="G75" s="22" t="s">
        <v>16</v>
      </c>
      <c r="H75" s="5" t="s">
        <v>41</v>
      </c>
      <c r="I75" s="23">
        <f>7653.53-14.98</f>
        <v>7638.55</v>
      </c>
      <c r="J75" s="23">
        <v>8384.42</v>
      </c>
      <c r="K75" s="23">
        <v>481</v>
      </c>
      <c r="L75" s="23"/>
      <c r="M75" s="23">
        <f>3518.6-12.35-75</f>
        <v>3431.25</v>
      </c>
      <c r="N75" s="23">
        <v>0</v>
      </c>
      <c r="O75" s="23">
        <f>+Table24[[#This Row],[FoodcostBlueline]]+Table24[[#This Row],[Pepsico]]</f>
        <v>3431.25</v>
      </c>
      <c r="P75" s="24">
        <f t="shared" si="2"/>
        <v>0.44920174640474958</v>
      </c>
      <c r="Q75" s="24"/>
      <c r="R75" s="23">
        <v>1500.2</v>
      </c>
      <c r="S75" s="25">
        <f t="shared" si="3"/>
        <v>0.1963985311348358</v>
      </c>
      <c r="T75" s="25"/>
      <c r="U75" s="26">
        <f>Table24[[#This Row],[WagesPercent]]+Table24[[#This Row],[FoodCostPercent]]</f>
        <v>0.64560027753958538</v>
      </c>
      <c r="V75" s="26"/>
    </row>
    <row r="76" spans="1:22" x14ac:dyDescent="0.25">
      <c r="A76" s="20">
        <v>75</v>
      </c>
      <c r="B76" s="21" t="s">
        <v>82</v>
      </c>
      <c r="C76" s="21" t="s">
        <v>77</v>
      </c>
      <c r="D76" s="6" t="s">
        <v>83</v>
      </c>
      <c r="E76" s="6">
        <v>3804015</v>
      </c>
      <c r="F76" s="6" t="s">
        <v>19</v>
      </c>
      <c r="G76" s="6" t="s">
        <v>20</v>
      </c>
      <c r="H76" s="5" t="s">
        <v>41</v>
      </c>
      <c r="I76" s="23">
        <v>13888.53</v>
      </c>
      <c r="J76" s="23">
        <v>15596.8</v>
      </c>
      <c r="K76" s="23">
        <v>907</v>
      </c>
      <c r="L76" s="23"/>
      <c r="M76" s="23">
        <f>4664.63-63</f>
        <v>4601.63</v>
      </c>
      <c r="N76" s="23">
        <v>215.66</v>
      </c>
      <c r="O76" s="23">
        <f>+Table24[[#This Row],[FoodcostBlueline]]+Table24[[#This Row],[Pepsico]]</f>
        <v>4817.29</v>
      </c>
      <c r="P76" s="24">
        <f t="shared" si="2"/>
        <v>0.34685384270329545</v>
      </c>
      <c r="Q76" s="24"/>
      <c r="R76" s="23">
        <v>4060.23</v>
      </c>
      <c r="S76" s="25">
        <f t="shared" si="3"/>
        <v>0.2923441141719102</v>
      </c>
      <c r="T76" s="25"/>
      <c r="U76" s="26">
        <f>Table24[[#This Row],[WagesPercent]]+Table24[[#This Row],[FoodCostPercent]]</f>
        <v>0.63919795687520564</v>
      </c>
      <c r="V76" s="26"/>
    </row>
    <row r="77" spans="1:22" x14ac:dyDescent="0.25">
      <c r="A77" s="20">
        <v>76</v>
      </c>
      <c r="B77" s="21" t="s">
        <v>82</v>
      </c>
      <c r="C77" s="21" t="s">
        <v>77</v>
      </c>
      <c r="D77" s="6" t="s">
        <v>83</v>
      </c>
      <c r="E77" s="22">
        <v>3804016</v>
      </c>
      <c r="F77" s="22" t="s">
        <v>21</v>
      </c>
      <c r="G77" s="22" t="s">
        <v>22</v>
      </c>
      <c r="H77" s="5" t="s">
        <v>40</v>
      </c>
      <c r="I77" s="23">
        <v>12801.29</v>
      </c>
      <c r="J77" s="23">
        <v>13699.75</v>
      </c>
      <c r="K77" s="23">
        <v>795</v>
      </c>
      <c r="L77" s="23"/>
      <c r="M77" s="23">
        <f>3969.8+49.9-12.35-63</f>
        <v>3944.3500000000004</v>
      </c>
      <c r="N77" s="23">
        <f>495.49+565.64</f>
        <v>1061.1300000000001</v>
      </c>
      <c r="O77" s="23">
        <f>+Table24[[#This Row],[FoodcostBlueline]]+Table24[[#This Row],[Pepsico]]</f>
        <v>5005.4800000000005</v>
      </c>
      <c r="P77" s="24">
        <f t="shared" si="2"/>
        <v>0.39101371814871783</v>
      </c>
      <c r="Q77" s="24"/>
      <c r="R77" s="23">
        <v>3415.71</v>
      </c>
      <c r="S77" s="25">
        <f t="shared" si="3"/>
        <v>0.26682545274734032</v>
      </c>
      <c r="T77" s="25"/>
      <c r="U77" s="26">
        <f>Table24[[#This Row],[WagesPercent]]+Table24[[#This Row],[FoodCostPercent]]</f>
        <v>0.65783917089605815</v>
      </c>
      <c r="V77" s="26"/>
    </row>
    <row r="78" spans="1:22" x14ac:dyDescent="0.25">
      <c r="A78" s="20">
        <v>77</v>
      </c>
      <c r="B78" s="21" t="s">
        <v>82</v>
      </c>
      <c r="C78" s="21" t="s">
        <v>77</v>
      </c>
      <c r="D78" s="6" t="s">
        <v>83</v>
      </c>
      <c r="E78" s="6">
        <v>3804017</v>
      </c>
      <c r="F78" s="6" t="s">
        <v>23</v>
      </c>
      <c r="G78" s="6" t="s">
        <v>22</v>
      </c>
      <c r="H78" s="5" t="s">
        <v>40</v>
      </c>
      <c r="I78" s="23">
        <v>17466.54</v>
      </c>
      <c r="J78" s="23">
        <v>15242.51</v>
      </c>
      <c r="K78" s="23">
        <v>1127</v>
      </c>
      <c r="L78" s="23"/>
      <c r="M78" s="23">
        <f>5584.3-42</f>
        <v>5542.3</v>
      </c>
      <c r="N78" s="23">
        <v>642.88</v>
      </c>
      <c r="O78" s="23">
        <f>+Table24[[#This Row],[FoodcostBlueline]]+Table24[[#This Row],[Pepsico]]</f>
        <v>6185.18</v>
      </c>
      <c r="P78" s="24">
        <f t="shared" si="2"/>
        <v>0.35411592679488896</v>
      </c>
      <c r="Q78" s="24"/>
      <c r="R78" s="23">
        <v>3617.99</v>
      </c>
      <c r="S78" s="25">
        <f t="shared" si="3"/>
        <v>0.20713833420929387</v>
      </c>
      <c r="T78" s="25"/>
      <c r="U78" s="26">
        <f>Table24[[#This Row],[WagesPercent]]+Table24[[#This Row],[FoodCostPercent]]</f>
        <v>0.56125426100418285</v>
      </c>
      <c r="V78" s="26"/>
    </row>
    <row r="79" spans="1:22" x14ac:dyDescent="0.25">
      <c r="A79" s="20">
        <v>78</v>
      </c>
      <c r="B79" s="21" t="s">
        <v>82</v>
      </c>
      <c r="C79" s="21" t="s">
        <v>77</v>
      </c>
      <c r="D79" s="6" t="s">
        <v>83</v>
      </c>
      <c r="E79" s="22">
        <v>3804018</v>
      </c>
      <c r="F79" s="22" t="s">
        <v>24</v>
      </c>
      <c r="G79" s="22" t="s">
        <v>20</v>
      </c>
      <c r="H79" s="5" t="s">
        <v>41</v>
      </c>
      <c r="I79" s="47">
        <v>18815.52</v>
      </c>
      <c r="J79" s="23">
        <v>17375.509999999998</v>
      </c>
      <c r="K79" s="23">
        <v>1184</v>
      </c>
      <c r="L79" s="23"/>
      <c r="M79" s="23">
        <f>6757.37+138.42-27</f>
        <v>6868.79</v>
      </c>
      <c r="N79" s="23">
        <v>349.63</v>
      </c>
      <c r="O79" s="23">
        <f>+Table24[[#This Row],[FoodcostBlueline]]+Table24[[#This Row],[Pepsico]]</f>
        <v>7218.42</v>
      </c>
      <c r="P79" s="24">
        <f t="shared" si="2"/>
        <v>0.38364180208678794</v>
      </c>
      <c r="Q79" s="24"/>
      <c r="R79" s="23">
        <v>3737.71</v>
      </c>
      <c r="S79" s="25">
        <f t="shared" si="3"/>
        <v>0.19865036948221468</v>
      </c>
      <c r="T79" s="25"/>
      <c r="U79" s="26">
        <f>Table24[[#This Row],[WagesPercent]]+Table24[[#This Row],[FoodCostPercent]]</f>
        <v>0.58229217156900259</v>
      </c>
      <c r="V79" s="26"/>
    </row>
    <row r="80" spans="1:22" x14ac:dyDescent="0.25">
      <c r="A80" s="20">
        <v>79</v>
      </c>
      <c r="B80" s="21" t="s">
        <v>82</v>
      </c>
      <c r="C80" s="21" t="s">
        <v>77</v>
      </c>
      <c r="D80" s="6" t="s">
        <v>83</v>
      </c>
      <c r="E80" s="22">
        <v>3804019</v>
      </c>
      <c r="F80" s="6" t="s">
        <v>25</v>
      </c>
      <c r="G80" s="6" t="s">
        <v>20</v>
      </c>
      <c r="H80" s="5" t="s">
        <v>41</v>
      </c>
      <c r="I80" s="23">
        <v>11396.65</v>
      </c>
      <c r="J80" s="23">
        <v>12372.97</v>
      </c>
      <c r="K80" s="23">
        <v>735</v>
      </c>
      <c r="L80" s="23"/>
      <c r="M80" s="23">
        <f>88.52+4103.88-18</f>
        <v>4174.4000000000005</v>
      </c>
      <c r="N80" s="23">
        <v>216.19</v>
      </c>
      <c r="O80" s="23">
        <f>+Table24[[#This Row],[FoodcostBlueline]]+Table24[[#This Row],[Pepsico]]</f>
        <v>4390.59</v>
      </c>
      <c r="P80" s="24">
        <f t="shared" si="2"/>
        <v>0.38525268390272582</v>
      </c>
      <c r="Q80" s="24"/>
      <c r="R80" s="23">
        <v>3237.33</v>
      </c>
      <c r="S80" s="25">
        <f t="shared" si="3"/>
        <v>0.28405978949954591</v>
      </c>
      <c r="T80" s="25"/>
      <c r="U80" s="26">
        <f>Table24[[#This Row],[WagesPercent]]+Table24[[#This Row],[FoodCostPercent]]</f>
        <v>0.66931247340227173</v>
      </c>
      <c r="V80" s="26"/>
    </row>
    <row r="81" spans="1:22" x14ac:dyDescent="0.25">
      <c r="A81" s="20">
        <v>80</v>
      </c>
      <c r="B81" s="21" t="s">
        <v>82</v>
      </c>
      <c r="C81" s="21" t="s">
        <v>77</v>
      </c>
      <c r="D81" s="6" t="s">
        <v>83</v>
      </c>
      <c r="E81" s="6">
        <v>3804020</v>
      </c>
      <c r="F81" s="22" t="s">
        <v>26</v>
      </c>
      <c r="G81" s="22" t="s">
        <v>22</v>
      </c>
      <c r="H81" s="5" t="s">
        <v>40</v>
      </c>
      <c r="I81" s="23">
        <v>11620.28</v>
      </c>
      <c r="J81" s="23">
        <v>10745.89</v>
      </c>
      <c r="K81" s="23">
        <v>663</v>
      </c>
      <c r="L81" s="23"/>
      <c r="M81" s="23">
        <f>3670.84-27</f>
        <v>3643.84</v>
      </c>
      <c r="N81" s="23">
        <v>365.08</v>
      </c>
      <c r="O81" s="23">
        <f>+Table24[[#This Row],[FoodcostBlueline]]+Table24[[#This Row],[Pepsico]]</f>
        <v>4008.92</v>
      </c>
      <c r="P81" s="24">
        <f t="shared" si="2"/>
        <v>0.34499340807622536</v>
      </c>
      <c r="Q81" s="24"/>
      <c r="R81" s="23">
        <v>2290.3200000000002</v>
      </c>
      <c r="S81" s="25">
        <f t="shared" si="3"/>
        <v>0.1970967997328808</v>
      </c>
      <c r="T81" s="25"/>
      <c r="U81" s="26">
        <f>Table24[[#This Row],[WagesPercent]]+Table24[[#This Row],[FoodCostPercent]]</f>
        <v>0.54209020780910611</v>
      </c>
      <c r="V81" s="26"/>
    </row>
    <row r="82" spans="1:22" x14ac:dyDescent="0.25">
      <c r="A82" s="20">
        <v>81</v>
      </c>
      <c r="B82" s="21" t="s">
        <v>82</v>
      </c>
      <c r="C82" s="21" t="s">
        <v>77</v>
      </c>
      <c r="D82" s="6" t="s">
        <v>83</v>
      </c>
      <c r="E82" s="22">
        <v>3804021</v>
      </c>
      <c r="F82" s="6" t="s">
        <v>27</v>
      </c>
      <c r="G82" s="6" t="s">
        <v>22</v>
      </c>
      <c r="H82" s="5" t="s">
        <v>40</v>
      </c>
      <c r="I82" s="23">
        <v>20469.13</v>
      </c>
      <c r="J82" s="23">
        <v>25477.43</v>
      </c>
      <c r="K82" s="23">
        <v>1245</v>
      </c>
      <c r="L82" s="23"/>
      <c r="M82" s="23">
        <f>-12.35-57+6818.65</f>
        <v>6749.2999999999993</v>
      </c>
      <c r="N82" s="23">
        <v>249.49</v>
      </c>
      <c r="O82" s="23">
        <f>+Table24[[#This Row],[FoodcostBlueline]]+Table24[[#This Row],[Pepsico]]</f>
        <v>6998.7899999999991</v>
      </c>
      <c r="P82" s="24">
        <f t="shared" si="2"/>
        <v>0.34191927062850247</v>
      </c>
      <c r="Q82" s="24"/>
      <c r="R82" s="23">
        <v>4231.71</v>
      </c>
      <c r="S82" s="25">
        <f t="shared" si="3"/>
        <v>0.20673619250060946</v>
      </c>
      <c r="T82" s="25"/>
      <c r="U82" s="26">
        <f>Table24[[#This Row],[WagesPercent]]+Table24[[#This Row],[FoodCostPercent]]</f>
        <v>0.54865546312911195</v>
      </c>
      <c r="V82" s="26"/>
    </row>
    <row r="83" spans="1:22" x14ac:dyDescent="0.25">
      <c r="A83" s="20">
        <v>82</v>
      </c>
      <c r="B83" s="21" t="s">
        <v>82</v>
      </c>
      <c r="C83" s="21" t="s">
        <v>77</v>
      </c>
      <c r="D83" s="6" t="s">
        <v>83</v>
      </c>
      <c r="E83" s="6">
        <v>3804022</v>
      </c>
      <c r="F83" s="22" t="s">
        <v>28</v>
      </c>
      <c r="G83" s="22" t="s">
        <v>22</v>
      </c>
      <c r="H83" s="5" t="s">
        <v>40</v>
      </c>
      <c r="I83" s="23">
        <v>12465.33</v>
      </c>
      <c r="J83" s="23">
        <v>13116.62</v>
      </c>
      <c r="K83" s="23">
        <v>738</v>
      </c>
      <c r="L83" s="23"/>
      <c r="M83" s="23">
        <f>3740.62+49.9-12</f>
        <v>3778.52</v>
      </c>
      <c r="N83" s="23">
        <v>0</v>
      </c>
      <c r="O83" s="23">
        <f>+Table24[[#This Row],[FoodcostBlueline]]+Table24[[#This Row],[Pepsico]]</f>
        <v>3778.52</v>
      </c>
      <c r="P83" s="24">
        <f t="shared" si="2"/>
        <v>0.30312234012256395</v>
      </c>
      <c r="Q83" s="24"/>
      <c r="R83" s="23">
        <v>2320.41</v>
      </c>
      <c r="S83" s="25">
        <f t="shared" si="3"/>
        <v>0.18614910315250377</v>
      </c>
      <c r="T83" s="25"/>
      <c r="U83" s="26">
        <f>Table24[[#This Row],[WagesPercent]]+Table24[[#This Row],[FoodCostPercent]]</f>
        <v>0.48927144327506772</v>
      </c>
      <c r="V83" s="26"/>
    </row>
    <row r="84" spans="1:22" x14ac:dyDescent="0.25">
      <c r="A84" s="20">
        <v>83</v>
      </c>
      <c r="B84" s="21" t="s">
        <v>82</v>
      </c>
      <c r="C84" s="21" t="s">
        <v>77</v>
      </c>
      <c r="D84" s="6" t="s">
        <v>83</v>
      </c>
      <c r="E84" s="22">
        <v>3804023</v>
      </c>
      <c r="F84" s="6" t="s">
        <v>29</v>
      </c>
      <c r="G84" s="6" t="s">
        <v>22</v>
      </c>
      <c r="H84" s="5" t="s">
        <v>40</v>
      </c>
      <c r="I84" s="23">
        <v>14405.18</v>
      </c>
      <c r="J84" s="23">
        <v>16073.96</v>
      </c>
      <c r="K84" s="23">
        <v>904</v>
      </c>
      <c r="L84" s="23"/>
      <c r="M84" s="23">
        <f>138.42+4450.59-30</f>
        <v>4559.01</v>
      </c>
      <c r="N84" s="23">
        <v>405.98</v>
      </c>
      <c r="O84" s="23">
        <f>+Table24[[#This Row],[FoodcostBlueline]]+Table24[[#This Row],[Pepsico]]</f>
        <v>4964.99</v>
      </c>
      <c r="P84" s="24">
        <f t="shared" si="2"/>
        <v>0.34466698784742711</v>
      </c>
      <c r="Q84" s="24"/>
      <c r="R84" s="23">
        <v>3341.74</v>
      </c>
      <c r="S84" s="25">
        <f t="shared" si="3"/>
        <v>0.23198182875882145</v>
      </c>
      <c r="T84" s="25"/>
      <c r="U84" s="26">
        <f>Table24[[#This Row],[WagesPercent]]+Table24[[#This Row],[FoodCostPercent]]</f>
        <v>0.57664881660624856</v>
      </c>
      <c r="V84" s="26"/>
    </row>
    <row r="85" spans="1:22" x14ac:dyDescent="0.25">
      <c r="A85" s="20">
        <v>84</v>
      </c>
      <c r="B85" s="21" t="s">
        <v>82</v>
      </c>
      <c r="C85" s="21" t="s">
        <v>77</v>
      </c>
      <c r="D85" s="6" t="s">
        <v>83</v>
      </c>
      <c r="E85" s="22">
        <v>3804024</v>
      </c>
      <c r="F85" s="22" t="s">
        <v>30</v>
      </c>
      <c r="G85" s="22" t="s">
        <v>20</v>
      </c>
      <c r="H85" s="5" t="s">
        <v>41</v>
      </c>
      <c r="I85" s="23">
        <v>10661.54</v>
      </c>
      <c r="J85" s="23">
        <v>11661.83</v>
      </c>
      <c r="K85" s="23">
        <v>626</v>
      </c>
      <c r="L85" s="23"/>
      <c r="M85" s="23">
        <f>2788.3+53.59-153</f>
        <v>2688.8900000000003</v>
      </c>
      <c r="N85" s="23">
        <v>323.89</v>
      </c>
      <c r="O85" s="23">
        <f>+Table24[[#This Row],[FoodcostBlueline]]+Table24[[#This Row],[Pepsico]]</f>
        <v>3012.78</v>
      </c>
      <c r="P85" s="24">
        <f t="shared" si="2"/>
        <v>0.28258394190707908</v>
      </c>
      <c r="Q85" s="24"/>
      <c r="R85" s="23">
        <f>3054.52+69.23</f>
        <v>3123.75</v>
      </c>
      <c r="S85" s="25">
        <f t="shared" si="3"/>
        <v>0.29299238196358124</v>
      </c>
      <c r="T85" s="25"/>
      <c r="U85" s="26">
        <f>Table24[[#This Row],[WagesPercent]]+Table24[[#This Row],[FoodCostPercent]]</f>
        <v>0.57557632387066038</v>
      </c>
      <c r="V85" s="26"/>
    </row>
    <row r="86" spans="1:22" x14ac:dyDescent="0.25">
      <c r="A86" s="20">
        <v>85</v>
      </c>
      <c r="B86" s="21" t="s">
        <v>82</v>
      </c>
      <c r="C86" s="21" t="s">
        <v>77</v>
      </c>
      <c r="D86" s="6" t="s">
        <v>83</v>
      </c>
      <c r="E86" s="22">
        <v>3804025</v>
      </c>
      <c r="F86" s="6" t="s">
        <v>31</v>
      </c>
      <c r="G86" s="6" t="s">
        <v>20</v>
      </c>
      <c r="H86" s="5" t="s">
        <v>41</v>
      </c>
      <c r="I86" s="23">
        <v>23405.61</v>
      </c>
      <c r="J86" s="23">
        <v>23651.98</v>
      </c>
      <c r="K86" s="23">
        <v>1496</v>
      </c>
      <c r="L86" s="23"/>
      <c r="M86" s="23">
        <f>138.42+7500.02-66</f>
        <v>7572.4400000000005</v>
      </c>
      <c r="N86" s="23">
        <v>392.98</v>
      </c>
      <c r="O86" s="23">
        <f>+Table24[[#This Row],[FoodcostBlueline]]+Table24[[#This Row],[Pepsico]]</f>
        <v>7965.42</v>
      </c>
      <c r="P86" s="24">
        <f t="shared" si="2"/>
        <v>0.34032097433051306</v>
      </c>
      <c r="Q86" s="24"/>
      <c r="R86" s="23">
        <v>5699.31</v>
      </c>
      <c r="S86" s="25">
        <f t="shared" si="3"/>
        <v>0.24350187839582049</v>
      </c>
      <c r="T86" s="25"/>
      <c r="U86" s="26">
        <f>Table24[[#This Row],[WagesPercent]]+Table24[[#This Row],[FoodCostPercent]]</f>
        <v>0.58382285272633361</v>
      </c>
      <c r="V86" s="26"/>
    </row>
    <row r="87" spans="1:22" x14ac:dyDescent="0.25">
      <c r="A87" s="20">
        <v>86</v>
      </c>
      <c r="B87" s="21" t="s">
        <v>82</v>
      </c>
      <c r="C87" s="21" t="s">
        <v>77</v>
      </c>
      <c r="D87" s="6" t="s">
        <v>83</v>
      </c>
      <c r="E87" s="6">
        <v>3804026</v>
      </c>
      <c r="F87" s="22" t="s">
        <v>32</v>
      </c>
      <c r="G87" s="22" t="s">
        <v>79</v>
      </c>
      <c r="H87" s="7" t="s">
        <v>41</v>
      </c>
      <c r="I87" s="23">
        <v>11930.03</v>
      </c>
      <c r="J87" s="23">
        <v>10643.47</v>
      </c>
      <c r="K87" s="23">
        <v>745</v>
      </c>
      <c r="L87" s="23"/>
      <c r="M87" s="23">
        <f>3729.35-132</f>
        <v>3597.35</v>
      </c>
      <c r="N87" s="23">
        <v>291.45</v>
      </c>
      <c r="O87" s="23">
        <f>+Table24[[#This Row],[FoodcostBlueline]]+Table24[[#This Row],[Pepsico]]</f>
        <v>3888.7999999999997</v>
      </c>
      <c r="P87" s="24">
        <f t="shared" si="2"/>
        <v>0.32596732782733989</v>
      </c>
      <c r="Q87" s="24"/>
      <c r="R87" s="23">
        <v>3593.16</v>
      </c>
      <c r="S87" s="25">
        <f t="shared" si="3"/>
        <v>0.30118616633822376</v>
      </c>
      <c r="T87" s="25"/>
      <c r="U87" s="26">
        <f>Table24[[#This Row],[WagesPercent]]+Table24[[#This Row],[FoodCostPercent]]</f>
        <v>0.62715349416556365</v>
      </c>
      <c r="V87" s="26"/>
    </row>
    <row r="88" spans="1:22" x14ac:dyDescent="0.25">
      <c r="A88" s="20">
        <v>87</v>
      </c>
      <c r="B88" s="21" t="s">
        <v>82</v>
      </c>
      <c r="C88" s="21" t="s">
        <v>77</v>
      </c>
      <c r="D88" s="6" t="s">
        <v>83</v>
      </c>
      <c r="E88" s="22">
        <v>3804027</v>
      </c>
      <c r="F88" s="6" t="s">
        <v>33</v>
      </c>
      <c r="G88" s="5" t="s">
        <v>43</v>
      </c>
      <c r="H88" s="5" t="s">
        <v>41</v>
      </c>
      <c r="I88" s="23">
        <v>17193.93</v>
      </c>
      <c r="J88" s="23">
        <v>9455.76</v>
      </c>
      <c r="K88" s="23">
        <v>1136</v>
      </c>
      <c r="L88" s="23"/>
      <c r="M88" s="23">
        <f>4597.53-24.7-180-24.76</f>
        <v>4368.07</v>
      </c>
      <c r="N88" s="23">
        <v>0</v>
      </c>
      <c r="O88" s="23">
        <f>+Table24[[#This Row],[FoodcostBlueline]]+Table24[[#This Row],[Pepsico]]</f>
        <v>4368.07</v>
      </c>
      <c r="P88" s="24">
        <f t="shared" si="2"/>
        <v>0.25404721317348622</v>
      </c>
      <c r="Q88" s="24"/>
      <c r="R88" s="23">
        <f>2022.2+277+1600</f>
        <v>3899.2</v>
      </c>
      <c r="S88" s="25">
        <f t="shared" si="3"/>
        <v>0.22677770585317025</v>
      </c>
      <c r="T88" s="25"/>
      <c r="U88" s="26">
        <f>Table24[[#This Row],[WagesPercent]]+Table24[[#This Row],[FoodCostPercent]]</f>
        <v>0.48082491902665647</v>
      </c>
      <c r="V88" s="26"/>
    </row>
    <row r="89" spans="1:22" x14ac:dyDescent="0.25">
      <c r="A89" s="20">
        <v>88</v>
      </c>
      <c r="B89" s="21" t="s">
        <v>82</v>
      </c>
      <c r="C89" s="21" t="s">
        <v>77</v>
      </c>
      <c r="D89" s="6" t="s">
        <v>83</v>
      </c>
      <c r="E89" s="6">
        <v>3804029</v>
      </c>
      <c r="F89" s="22" t="s">
        <v>34</v>
      </c>
      <c r="G89" s="22" t="s">
        <v>79</v>
      </c>
      <c r="H89" s="5" t="s">
        <v>41</v>
      </c>
      <c r="I89" s="23">
        <v>12157.28</v>
      </c>
      <c r="J89" s="23">
        <v>8159.29</v>
      </c>
      <c r="K89" s="23">
        <v>750</v>
      </c>
      <c r="L89" s="23"/>
      <c r="M89" s="23">
        <f>-12.35-114+2919.76-24.76</f>
        <v>2768.65</v>
      </c>
      <c r="N89" s="23">
        <v>0</v>
      </c>
      <c r="O89" s="23">
        <f>+Table24[[#This Row],[FoodcostBlueline]]+Table24[[#This Row],[Pepsico]]</f>
        <v>2768.65</v>
      </c>
      <c r="P89" s="24">
        <f t="shared" si="2"/>
        <v>0.22773597383625285</v>
      </c>
      <c r="Q89" s="24"/>
      <c r="R89" s="23">
        <f>210.81+2370</f>
        <v>2580.81</v>
      </c>
      <c r="S89" s="25">
        <f t="shared" si="3"/>
        <v>0.21228514930971401</v>
      </c>
      <c r="T89" s="25"/>
      <c r="U89" s="26">
        <f>Table24[[#This Row],[WagesPercent]]+Table24[[#This Row],[FoodCostPercent]]</f>
        <v>0.44002112314596686</v>
      </c>
      <c r="V89" s="26"/>
    </row>
    <row r="90" spans="1:22" x14ac:dyDescent="0.25">
      <c r="A90" s="20">
        <v>89</v>
      </c>
      <c r="B90" s="21" t="s">
        <v>82</v>
      </c>
      <c r="C90" s="21" t="s">
        <v>77</v>
      </c>
      <c r="D90" s="6" t="s">
        <v>83</v>
      </c>
      <c r="E90" s="22">
        <v>3804030</v>
      </c>
      <c r="F90" s="6" t="s">
        <v>35</v>
      </c>
      <c r="G90" s="6" t="s">
        <v>5</v>
      </c>
      <c r="H90" s="5" t="s">
        <v>40</v>
      </c>
      <c r="I90" s="23">
        <v>8662.33</v>
      </c>
      <c r="J90" s="23">
        <v>7484.3</v>
      </c>
      <c r="K90" s="23">
        <v>503</v>
      </c>
      <c r="L90" s="23"/>
      <c r="M90" s="23">
        <f>-111+3016.01-48.57</f>
        <v>2856.44</v>
      </c>
      <c r="N90" s="23">
        <v>212.4</v>
      </c>
      <c r="O90" s="23">
        <f>+Table24[[#This Row],[FoodcostBlueline]]+Table24[[#This Row],[Pepsico]]</f>
        <v>3068.84</v>
      </c>
      <c r="P90" s="24">
        <f t="shared" si="2"/>
        <v>0.35427419643444663</v>
      </c>
      <c r="Q90" s="24"/>
      <c r="R90" s="23">
        <v>2471.2600000000002</v>
      </c>
      <c r="S90" s="25">
        <f t="shared" si="3"/>
        <v>0.28528813841079714</v>
      </c>
      <c r="T90" s="25"/>
      <c r="U90" s="26">
        <f>Table24[[#This Row],[WagesPercent]]+Table24[[#This Row],[FoodCostPercent]]</f>
        <v>0.63956233484524372</v>
      </c>
      <c r="V90" s="26"/>
    </row>
    <row r="91" spans="1:22" x14ac:dyDescent="0.25">
      <c r="A91" s="20">
        <v>90</v>
      </c>
      <c r="B91" s="21" t="s">
        <v>82</v>
      </c>
      <c r="C91" s="21" t="s">
        <v>77</v>
      </c>
      <c r="D91" s="6" t="s">
        <v>83</v>
      </c>
      <c r="E91" s="22">
        <v>3804031</v>
      </c>
      <c r="F91" s="22" t="s">
        <v>36</v>
      </c>
      <c r="G91" s="22" t="s">
        <v>5</v>
      </c>
      <c r="H91" s="5" t="s">
        <v>40</v>
      </c>
      <c r="I91" s="23">
        <v>10465.84</v>
      </c>
      <c r="J91" s="23">
        <v>7672.45</v>
      </c>
      <c r="K91" s="23">
        <v>676</v>
      </c>
      <c r="L91" s="23"/>
      <c r="M91" s="23">
        <f>3075.1-195</f>
        <v>2880.1</v>
      </c>
      <c r="N91" s="23">
        <v>179.53</v>
      </c>
      <c r="O91" s="23">
        <f>+Table24[[#This Row],[FoodcostBlueline]]+Table24[[#This Row],[Pepsico]]</f>
        <v>3059.63</v>
      </c>
      <c r="P91" s="24">
        <f t="shared" si="2"/>
        <v>0.29234442720316767</v>
      </c>
      <c r="Q91" s="24"/>
      <c r="R91" s="37">
        <f>1897.12+1040</f>
        <v>2937.12</v>
      </c>
      <c r="S91" s="25">
        <f t="shared" si="3"/>
        <v>0.28063872560635361</v>
      </c>
      <c r="T91" s="25"/>
      <c r="U91" s="26">
        <f>Table24[[#This Row],[WagesPercent]]+Table24[[#This Row],[FoodCostPercent]]</f>
        <v>0.57298315280952128</v>
      </c>
      <c r="V91" s="26"/>
    </row>
    <row r="92" spans="1:22" x14ac:dyDescent="0.25">
      <c r="A92" s="20">
        <v>91</v>
      </c>
      <c r="B92" s="21" t="s">
        <v>82</v>
      </c>
      <c r="C92" s="21" t="s">
        <v>77</v>
      </c>
      <c r="D92" s="6" t="s">
        <v>83</v>
      </c>
      <c r="E92" s="22">
        <v>3804032</v>
      </c>
      <c r="F92" s="6" t="s">
        <v>37</v>
      </c>
      <c r="G92" s="6" t="s">
        <v>5</v>
      </c>
      <c r="H92" s="5" t="s">
        <v>40</v>
      </c>
      <c r="I92" s="23">
        <v>9629.84</v>
      </c>
      <c r="J92" s="23">
        <v>5153.01</v>
      </c>
      <c r="K92" s="23">
        <v>553</v>
      </c>
      <c r="L92" s="23"/>
      <c r="M92" s="23">
        <f>2637.53-135</f>
        <v>2502.5300000000002</v>
      </c>
      <c r="N92" s="23">
        <v>361.77</v>
      </c>
      <c r="O92" s="23">
        <f>+Table24[[#This Row],[FoodcostBlueline]]+Table24[[#This Row],[Pepsico]]</f>
        <v>2864.3</v>
      </c>
      <c r="P92" s="24">
        <f t="shared" si="2"/>
        <v>0.29744004054065282</v>
      </c>
      <c r="Q92" s="24"/>
      <c r="R92" s="23">
        <f>1100+850+200</f>
        <v>2150</v>
      </c>
      <c r="S92" s="25">
        <f t="shared" si="3"/>
        <v>0.22326435330182018</v>
      </c>
      <c r="T92" s="25"/>
      <c r="U92" s="26">
        <f>Table24[[#This Row],[WagesPercent]]+Table24[[#This Row],[FoodCostPercent]]</f>
        <v>0.52070439384247302</v>
      </c>
      <c r="V92" s="26"/>
    </row>
    <row r="93" spans="1:22" x14ac:dyDescent="0.25">
      <c r="A93" s="20">
        <v>92</v>
      </c>
      <c r="B93" s="21" t="s">
        <v>82</v>
      </c>
      <c r="C93" s="21" t="s">
        <v>77</v>
      </c>
      <c r="D93" s="6" t="s">
        <v>83</v>
      </c>
      <c r="E93" s="6">
        <v>3804033</v>
      </c>
      <c r="F93" s="22" t="s">
        <v>38</v>
      </c>
      <c r="G93" s="22" t="s">
        <v>5</v>
      </c>
      <c r="H93" s="5" t="s">
        <v>40</v>
      </c>
      <c r="I93" s="23">
        <v>7485.08</v>
      </c>
      <c r="J93" s="23">
        <v>5479.98</v>
      </c>
      <c r="K93" s="23">
        <v>532</v>
      </c>
      <c r="L93" s="23"/>
      <c r="M93" s="23">
        <f>2272.88-12.35-87+312</f>
        <v>2485.5300000000002</v>
      </c>
      <c r="N93" s="23">
        <v>0</v>
      </c>
      <c r="O93" s="23">
        <f>+Table24[[#This Row],[FoodcostBlueline]]+Table24[[#This Row],[Pepsico]]</f>
        <v>2485.5300000000002</v>
      </c>
      <c r="P93" s="24">
        <f t="shared" si="2"/>
        <v>0.33206458715204118</v>
      </c>
      <c r="Q93" s="24"/>
      <c r="R93" s="23">
        <f>1100+850+165.58</f>
        <v>2115.58</v>
      </c>
      <c r="S93" s="25">
        <f t="shared" si="3"/>
        <v>0.28263959770637054</v>
      </c>
      <c r="T93" s="25"/>
      <c r="U93" s="26">
        <f>Table24[[#This Row],[WagesPercent]]+Table24[[#This Row],[FoodCostPercent]]</f>
        <v>0.61470418485841172</v>
      </c>
      <c r="V93" s="26"/>
    </row>
    <row r="94" spans="1:22" x14ac:dyDescent="0.25">
      <c r="A94" s="20">
        <v>93</v>
      </c>
      <c r="B94" s="29" t="s">
        <v>82</v>
      </c>
      <c r="C94" s="21" t="s">
        <v>77</v>
      </c>
      <c r="D94" s="17" t="s">
        <v>83</v>
      </c>
      <c r="E94" s="6">
        <v>3804034</v>
      </c>
      <c r="F94" s="17" t="s">
        <v>53</v>
      </c>
      <c r="G94" s="30" t="s">
        <v>79</v>
      </c>
      <c r="H94" s="12" t="s">
        <v>41</v>
      </c>
      <c r="I94" s="31">
        <v>7898.82</v>
      </c>
      <c r="J94" s="23">
        <v>0</v>
      </c>
      <c r="K94" s="31">
        <v>445</v>
      </c>
      <c r="L94" s="31"/>
      <c r="M94" s="23">
        <f>-18+16.65+2515.96</f>
        <v>2514.61</v>
      </c>
      <c r="N94" s="23">
        <v>0</v>
      </c>
      <c r="O94" s="31">
        <f>+Table24[[#This Row],[FoodcostBlueline]]+Table24[[#This Row],[Pepsico]]</f>
        <v>2514.61</v>
      </c>
      <c r="P94" s="32">
        <f t="shared" si="2"/>
        <v>0.31835261469434678</v>
      </c>
      <c r="Q94" s="32"/>
      <c r="R94" s="31">
        <f>339.9+2400</f>
        <v>2739.9</v>
      </c>
      <c r="S94" s="25">
        <f t="shared" si="3"/>
        <v>0.3468745964587116</v>
      </c>
      <c r="T94" s="33"/>
      <c r="U94" s="34">
        <f>Table24[[#This Row],[WagesPercent]]+Table24[[#This Row],[FoodCostPercent]]</f>
        <v>0.66522721115305838</v>
      </c>
      <c r="V94" s="34"/>
    </row>
    <row r="95" spans="1:22" x14ac:dyDescent="0.25">
      <c r="A95" s="20">
        <v>94</v>
      </c>
      <c r="B95" s="21" t="s">
        <v>84</v>
      </c>
      <c r="C95" s="21" t="s">
        <v>77</v>
      </c>
      <c r="D95" s="6" t="s">
        <v>85</v>
      </c>
      <c r="E95" s="22">
        <v>3804001</v>
      </c>
      <c r="F95" s="22" t="s">
        <v>4</v>
      </c>
      <c r="G95" s="22" t="s">
        <v>5</v>
      </c>
      <c r="H95" s="5" t="s">
        <v>40</v>
      </c>
      <c r="I95" s="23">
        <f>27822.93-7.49</f>
        <v>27815.439999999999</v>
      </c>
      <c r="J95" s="23">
        <v>27458.45</v>
      </c>
      <c r="K95" s="23">
        <v>1834</v>
      </c>
      <c r="L95" s="23"/>
      <c r="M95" s="23">
        <f>214.36+7466.73</f>
        <v>7681.0899999999992</v>
      </c>
      <c r="N95" s="23">
        <v>511.6</v>
      </c>
      <c r="O95" s="23">
        <f t="shared" ref="O95:O126" si="4">+M95+N95</f>
        <v>8192.6899999999987</v>
      </c>
      <c r="P95" s="24">
        <f t="shared" si="2"/>
        <v>0.29453749428375031</v>
      </c>
      <c r="Q95" s="35"/>
      <c r="R95" s="23">
        <f>5046.61+1620+165.58</f>
        <v>6832.19</v>
      </c>
      <c r="S95" s="25">
        <f t="shared" si="3"/>
        <v>0.2456258107008194</v>
      </c>
      <c r="T95" s="36"/>
      <c r="U95" s="26">
        <f t="shared" ref="U95:U126" si="5">+S95+P95</f>
        <v>0.54016330498456977</v>
      </c>
      <c r="V95" s="36"/>
    </row>
    <row r="96" spans="1:22" x14ac:dyDescent="0.25">
      <c r="A96" s="20">
        <v>95</v>
      </c>
      <c r="B96" s="21" t="s">
        <v>84</v>
      </c>
      <c r="C96" s="21" t="s">
        <v>77</v>
      </c>
      <c r="D96" s="6" t="s">
        <v>85</v>
      </c>
      <c r="E96" s="22">
        <v>3804002</v>
      </c>
      <c r="F96" s="22" t="s">
        <v>6</v>
      </c>
      <c r="G96" s="22" t="s">
        <v>7</v>
      </c>
      <c r="H96" s="14" t="s">
        <v>41</v>
      </c>
      <c r="I96" s="23">
        <v>13180.4</v>
      </c>
      <c r="J96" s="23">
        <v>14252.32</v>
      </c>
      <c r="K96" s="23">
        <v>1010</v>
      </c>
      <c r="L96" s="23"/>
      <c r="M96" s="37">
        <v>3101.11</v>
      </c>
      <c r="N96" s="23">
        <v>611.76</v>
      </c>
      <c r="O96" s="23">
        <f t="shared" si="4"/>
        <v>3712.87</v>
      </c>
      <c r="P96" s="24">
        <f t="shared" si="2"/>
        <v>0.28169630663712786</v>
      </c>
      <c r="Q96" s="35"/>
      <c r="R96" s="23">
        <v>4177.3</v>
      </c>
      <c r="S96" s="25">
        <f t="shared" si="3"/>
        <v>0.31693271827865621</v>
      </c>
      <c r="T96" s="36"/>
      <c r="U96" s="26">
        <f t="shared" si="5"/>
        <v>0.59862902491578407</v>
      </c>
      <c r="V96" s="36"/>
    </row>
    <row r="97" spans="1:22" x14ac:dyDescent="0.25">
      <c r="A97" s="20">
        <v>96</v>
      </c>
      <c r="B97" s="21" t="s">
        <v>84</v>
      </c>
      <c r="C97" s="21" t="s">
        <v>77</v>
      </c>
      <c r="D97" s="6" t="s">
        <v>85</v>
      </c>
      <c r="E97" s="22">
        <v>3804003</v>
      </c>
      <c r="F97" s="22" t="s">
        <v>8</v>
      </c>
      <c r="G97" s="22" t="s">
        <v>7</v>
      </c>
      <c r="H97" s="5" t="s">
        <v>41</v>
      </c>
      <c r="I97" s="23">
        <v>11891.24</v>
      </c>
      <c r="J97" s="23">
        <v>7256.48</v>
      </c>
      <c r="K97" s="23">
        <v>768</v>
      </c>
      <c r="L97" s="23"/>
      <c r="M97" s="37">
        <f>116.16-3066.85+3066.85+3096.85+50+50</f>
        <v>3313.0099999999998</v>
      </c>
      <c r="N97" s="23">
        <v>0</v>
      </c>
      <c r="O97" s="23">
        <f t="shared" si="4"/>
        <v>3313.0099999999998</v>
      </c>
      <c r="P97" s="24">
        <f t="shared" si="2"/>
        <v>0.27860929558229419</v>
      </c>
      <c r="Q97" s="24"/>
      <c r="R97" s="23">
        <v>3303.64</v>
      </c>
      <c r="S97" s="25">
        <f t="shared" si="3"/>
        <v>0.2778213205687548</v>
      </c>
      <c r="T97" s="36"/>
      <c r="U97" s="26">
        <f t="shared" si="5"/>
        <v>0.55643061615104905</v>
      </c>
      <c r="V97" s="36"/>
    </row>
    <row r="98" spans="1:22" x14ac:dyDescent="0.25">
      <c r="A98" s="20">
        <v>97</v>
      </c>
      <c r="B98" s="21" t="s">
        <v>84</v>
      </c>
      <c r="C98" s="21" t="s">
        <v>77</v>
      </c>
      <c r="D98" s="6" t="s">
        <v>85</v>
      </c>
      <c r="E98" s="22">
        <v>3804004</v>
      </c>
      <c r="F98" s="22" t="s">
        <v>9</v>
      </c>
      <c r="G98" s="22" t="s">
        <v>7</v>
      </c>
      <c r="H98" s="14" t="s">
        <v>41</v>
      </c>
      <c r="I98" s="23">
        <f>16851.79-7.49</f>
        <v>16844.3</v>
      </c>
      <c r="J98" s="23">
        <v>15991.75</v>
      </c>
      <c r="K98" s="23">
        <v>1095</v>
      </c>
      <c r="L98" s="23"/>
      <c r="M98" s="37">
        <v>3751.5</v>
      </c>
      <c r="N98" s="23">
        <v>451.45</v>
      </c>
      <c r="O98" s="23">
        <f t="shared" si="4"/>
        <v>4202.95</v>
      </c>
      <c r="P98" s="24">
        <f t="shared" si="2"/>
        <v>0.24951764098240947</v>
      </c>
      <c r="Q98" s="24"/>
      <c r="R98" s="23">
        <v>3909.39</v>
      </c>
      <c r="S98" s="25">
        <f t="shared" si="3"/>
        <v>0.2320897870496251</v>
      </c>
      <c r="T98" s="36"/>
      <c r="U98" s="26">
        <f t="shared" si="5"/>
        <v>0.4816074280320346</v>
      </c>
      <c r="V98" s="36"/>
    </row>
    <row r="99" spans="1:22" x14ac:dyDescent="0.25">
      <c r="A99" s="20">
        <v>98</v>
      </c>
      <c r="B99" s="21" t="s">
        <v>84</v>
      </c>
      <c r="C99" s="21" t="s">
        <v>77</v>
      </c>
      <c r="D99" s="6" t="s">
        <v>85</v>
      </c>
      <c r="E99" s="6">
        <v>3804005</v>
      </c>
      <c r="F99" s="22" t="s">
        <v>10</v>
      </c>
      <c r="G99" s="22" t="s">
        <v>7</v>
      </c>
      <c r="H99" s="5" t="s">
        <v>41</v>
      </c>
      <c r="I99" s="23">
        <v>12257.61</v>
      </c>
      <c r="J99" s="23">
        <v>13702.16</v>
      </c>
      <c r="K99" s="23">
        <v>830</v>
      </c>
      <c r="L99" s="23"/>
      <c r="M99" s="37">
        <v>4204.3900000000003</v>
      </c>
      <c r="N99" s="23">
        <v>584.28</v>
      </c>
      <c r="O99" s="23">
        <f t="shared" si="4"/>
        <v>4788.67</v>
      </c>
      <c r="P99" s="24">
        <f t="shared" si="2"/>
        <v>0.39066914349534698</v>
      </c>
      <c r="Q99" s="35"/>
      <c r="R99" s="23">
        <v>3770.08</v>
      </c>
      <c r="S99" s="25">
        <f t="shared" si="3"/>
        <v>0.30757056228742796</v>
      </c>
      <c r="T99" s="36"/>
      <c r="U99" s="26">
        <f t="shared" si="5"/>
        <v>0.69823970578277494</v>
      </c>
      <c r="V99" s="36"/>
    </row>
    <row r="100" spans="1:22" x14ac:dyDescent="0.25">
      <c r="A100" s="20">
        <v>99</v>
      </c>
      <c r="B100" s="21" t="s">
        <v>84</v>
      </c>
      <c r="C100" s="21" t="s">
        <v>77</v>
      </c>
      <c r="D100" s="6" t="s">
        <v>85</v>
      </c>
      <c r="E100" s="22">
        <v>3804006</v>
      </c>
      <c r="F100" s="22" t="s">
        <v>11</v>
      </c>
      <c r="G100" s="22" t="s">
        <v>7</v>
      </c>
      <c r="H100" s="14" t="s">
        <v>41</v>
      </c>
      <c r="I100" s="23">
        <v>9730.69</v>
      </c>
      <c r="J100" s="23">
        <v>9369.24</v>
      </c>
      <c r="K100" s="23">
        <v>689</v>
      </c>
      <c r="L100" s="23"/>
      <c r="M100" s="37">
        <v>2146.1529999999998</v>
      </c>
      <c r="N100" s="23">
        <v>396.56</v>
      </c>
      <c r="O100" s="23">
        <f t="shared" si="4"/>
        <v>2542.7129999999997</v>
      </c>
      <c r="P100" s="24">
        <f t="shared" si="2"/>
        <v>0.26130860195936767</v>
      </c>
      <c r="Q100" s="24"/>
      <c r="R100" s="23">
        <v>2835.27</v>
      </c>
      <c r="S100" s="25">
        <f t="shared" si="3"/>
        <v>0.29137399300563471</v>
      </c>
      <c r="T100" s="36"/>
      <c r="U100" s="26">
        <f t="shared" si="5"/>
        <v>0.55268259496500238</v>
      </c>
      <c r="V100" s="36"/>
    </row>
    <row r="101" spans="1:22" x14ac:dyDescent="0.25">
      <c r="A101" s="20">
        <v>100</v>
      </c>
      <c r="B101" s="21" t="s">
        <v>84</v>
      </c>
      <c r="C101" s="21" t="s">
        <v>77</v>
      </c>
      <c r="D101" s="6" t="s">
        <v>85</v>
      </c>
      <c r="E101" s="22">
        <v>3804008</v>
      </c>
      <c r="F101" s="22" t="s">
        <v>12</v>
      </c>
      <c r="G101" s="5" t="s">
        <v>42</v>
      </c>
      <c r="H101" s="5" t="s">
        <v>41</v>
      </c>
      <c r="I101" s="23">
        <v>22399.4</v>
      </c>
      <c r="J101" s="23">
        <v>19839.78</v>
      </c>
      <c r="K101" s="23">
        <v>1438</v>
      </c>
      <c r="L101" s="23"/>
      <c r="M101" s="37">
        <f>5983.73-12.35</f>
        <v>5971.3799999999992</v>
      </c>
      <c r="N101" s="23">
        <v>0</v>
      </c>
      <c r="O101" s="23">
        <f t="shared" si="4"/>
        <v>5971.3799999999992</v>
      </c>
      <c r="P101" s="24">
        <f t="shared" si="2"/>
        <v>0.26658660499834813</v>
      </c>
      <c r="Q101" s="35"/>
      <c r="R101" s="23">
        <f>592.32+5089</f>
        <v>5681.32</v>
      </c>
      <c r="S101" s="25">
        <f t="shared" si="3"/>
        <v>0.25363715099511591</v>
      </c>
      <c r="T101" s="36"/>
      <c r="U101" s="26">
        <f t="shared" si="5"/>
        <v>0.52022375599346404</v>
      </c>
      <c r="V101" s="36"/>
    </row>
    <row r="102" spans="1:22" x14ac:dyDescent="0.25">
      <c r="A102" s="20">
        <v>101</v>
      </c>
      <c r="B102" s="21" t="s">
        <v>84</v>
      </c>
      <c r="C102" s="21" t="s">
        <v>77</v>
      </c>
      <c r="D102" s="6" t="s">
        <v>85</v>
      </c>
      <c r="E102" s="22">
        <v>3804009</v>
      </c>
      <c r="F102" s="22" t="s">
        <v>13</v>
      </c>
      <c r="G102" s="14" t="s">
        <v>42</v>
      </c>
      <c r="H102" s="14" t="s">
        <v>41</v>
      </c>
      <c r="I102" s="23">
        <f>15406.28</f>
        <v>15406.28</v>
      </c>
      <c r="J102" s="23">
        <v>14416.03</v>
      </c>
      <c r="K102" s="23">
        <v>991</v>
      </c>
      <c r="L102" s="23"/>
      <c r="M102" s="37">
        <v>2585.4299999999998</v>
      </c>
      <c r="N102" s="23">
        <v>0</v>
      </c>
      <c r="O102" s="23">
        <f t="shared" si="4"/>
        <v>2585.4299999999998</v>
      </c>
      <c r="P102" s="24">
        <f t="shared" si="2"/>
        <v>0.16781663062075983</v>
      </c>
      <c r="Q102" s="35"/>
      <c r="R102" s="23">
        <v>3904</v>
      </c>
      <c r="S102" s="25">
        <f t="shared" si="3"/>
        <v>0.25340315767336435</v>
      </c>
      <c r="T102" s="36"/>
      <c r="U102" s="26">
        <f t="shared" si="5"/>
        <v>0.42121978829412421</v>
      </c>
      <c r="V102" s="36"/>
    </row>
    <row r="103" spans="1:22" x14ac:dyDescent="0.25">
      <c r="A103" s="20">
        <v>102</v>
      </c>
      <c r="B103" s="21" t="s">
        <v>84</v>
      </c>
      <c r="C103" s="21" t="s">
        <v>77</v>
      </c>
      <c r="D103" s="6" t="s">
        <v>85</v>
      </c>
      <c r="E103" s="6">
        <v>3804010</v>
      </c>
      <c r="F103" s="22" t="s">
        <v>14</v>
      </c>
      <c r="G103" s="5" t="s">
        <v>42</v>
      </c>
      <c r="H103" s="5" t="s">
        <v>41</v>
      </c>
      <c r="I103" s="23">
        <v>8781.15</v>
      </c>
      <c r="J103" s="23">
        <v>9223.1</v>
      </c>
      <c r="K103" s="23">
        <v>530</v>
      </c>
      <c r="L103" s="23"/>
      <c r="M103" s="37">
        <v>2174.67</v>
      </c>
      <c r="N103" s="23">
        <v>0</v>
      </c>
      <c r="O103" s="23">
        <f t="shared" si="4"/>
        <v>2174.67</v>
      </c>
      <c r="P103" s="24">
        <f t="shared" si="2"/>
        <v>0.24765207290616834</v>
      </c>
      <c r="Q103" s="35"/>
      <c r="R103" s="23">
        <v>2148</v>
      </c>
      <c r="S103" s="25">
        <f t="shared" si="3"/>
        <v>0.24461488529406741</v>
      </c>
      <c r="T103" s="36"/>
      <c r="U103" s="26">
        <f t="shared" si="5"/>
        <v>0.49226695820023575</v>
      </c>
      <c r="V103" s="36"/>
    </row>
    <row r="104" spans="1:22" x14ac:dyDescent="0.25">
      <c r="A104" s="20">
        <v>103</v>
      </c>
      <c r="B104" s="21" t="s">
        <v>84</v>
      </c>
      <c r="C104" s="21" t="s">
        <v>77</v>
      </c>
      <c r="D104" s="6" t="s">
        <v>85</v>
      </c>
      <c r="E104" s="22">
        <v>3804011</v>
      </c>
      <c r="F104" s="22" t="s">
        <v>15</v>
      </c>
      <c r="G104" s="22" t="s">
        <v>16</v>
      </c>
      <c r="H104" s="14" t="s">
        <v>41</v>
      </c>
      <c r="I104" s="23">
        <v>25783.81</v>
      </c>
      <c r="J104" s="23">
        <v>24913.8</v>
      </c>
      <c r="K104" s="23">
        <v>1731</v>
      </c>
      <c r="L104" s="23"/>
      <c r="M104" s="37">
        <f>95.09+5570.84</f>
        <v>5665.93</v>
      </c>
      <c r="N104" s="23">
        <v>580.46</v>
      </c>
      <c r="O104" s="23">
        <f t="shared" si="4"/>
        <v>6246.39</v>
      </c>
      <c r="P104" s="24">
        <f t="shared" si="2"/>
        <v>0.24226016248180543</v>
      </c>
      <c r="Q104" s="35"/>
      <c r="R104" s="23">
        <f>4135.83+1096.15+1000</f>
        <v>6231.98</v>
      </c>
      <c r="S104" s="25">
        <f t="shared" si="3"/>
        <v>0.24170128464334786</v>
      </c>
      <c r="T104" s="36"/>
      <c r="U104" s="26">
        <f t="shared" si="5"/>
        <v>0.48396144712515332</v>
      </c>
      <c r="V104" s="36"/>
    </row>
    <row r="105" spans="1:22" x14ac:dyDescent="0.25">
      <c r="A105" s="20">
        <v>104</v>
      </c>
      <c r="B105" s="21" t="s">
        <v>84</v>
      </c>
      <c r="C105" s="21" t="s">
        <v>77</v>
      </c>
      <c r="D105" s="6" t="s">
        <v>85</v>
      </c>
      <c r="E105" s="22">
        <v>3804013</v>
      </c>
      <c r="F105" s="6" t="s">
        <v>17</v>
      </c>
      <c r="G105" s="6" t="s">
        <v>16</v>
      </c>
      <c r="H105" s="5" t="s">
        <v>41</v>
      </c>
      <c r="I105" s="23">
        <v>8001.57</v>
      </c>
      <c r="J105" s="23">
        <v>6621.27</v>
      </c>
      <c r="K105" s="23">
        <v>526</v>
      </c>
      <c r="L105" s="23"/>
      <c r="M105" s="37">
        <f>2042.25-12.35</f>
        <v>2029.9</v>
      </c>
      <c r="N105" s="23">
        <v>0</v>
      </c>
      <c r="O105" s="23">
        <f t="shared" si="4"/>
        <v>2029.9</v>
      </c>
      <c r="P105" s="24">
        <f t="shared" si="2"/>
        <v>0.2536877137861695</v>
      </c>
      <c r="Q105" s="35"/>
      <c r="R105" s="23">
        <v>2208.8200000000002</v>
      </c>
      <c r="S105" s="25">
        <f t="shared" si="3"/>
        <v>0.27604832551611747</v>
      </c>
      <c r="T105" s="36"/>
      <c r="U105" s="26">
        <f t="shared" si="5"/>
        <v>0.52973603930228697</v>
      </c>
      <c r="V105" s="36"/>
    </row>
    <row r="106" spans="1:22" x14ac:dyDescent="0.25">
      <c r="A106" s="20">
        <v>105</v>
      </c>
      <c r="B106" s="21" t="s">
        <v>84</v>
      </c>
      <c r="C106" s="21" t="s">
        <v>77</v>
      </c>
      <c r="D106" s="6" t="s">
        <v>85</v>
      </c>
      <c r="E106" s="22">
        <v>3804014</v>
      </c>
      <c r="F106" s="22" t="s">
        <v>18</v>
      </c>
      <c r="G106" s="22" t="s">
        <v>16</v>
      </c>
      <c r="H106" s="14" t="s">
        <v>41</v>
      </c>
      <c r="I106" s="23">
        <v>8198.66</v>
      </c>
      <c r="J106" s="23">
        <v>8553.67</v>
      </c>
      <c r="K106" s="23">
        <v>556</v>
      </c>
      <c r="L106" s="23"/>
      <c r="M106" s="37">
        <f>2374.4-1</f>
        <v>2373.4</v>
      </c>
      <c r="N106" s="23">
        <v>0</v>
      </c>
      <c r="O106" s="23">
        <f t="shared" si="4"/>
        <v>2373.4</v>
      </c>
      <c r="P106" s="24">
        <f t="shared" si="2"/>
        <v>0.28948633069306451</v>
      </c>
      <c r="Q106" s="35"/>
      <c r="R106" s="23">
        <v>1702.74</v>
      </c>
      <c r="S106" s="25">
        <f t="shared" si="3"/>
        <v>0.20768515830635739</v>
      </c>
      <c r="T106" s="36"/>
      <c r="U106" s="26">
        <f t="shared" si="5"/>
        <v>0.49717148899942187</v>
      </c>
      <c r="V106" s="36"/>
    </row>
    <row r="107" spans="1:22" x14ac:dyDescent="0.25">
      <c r="A107" s="20">
        <v>106</v>
      </c>
      <c r="B107" s="21" t="s">
        <v>84</v>
      </c>
      <c r="C107" s="21" t="s">
        <v>77</v>
      </c>
      <c r="D107" s="6" t="s">
        <v>85</v>
      </c>
      <c r="E107" s="6">
        <v>3804015</v>
      </c>
      <c r="F107" s="6" t="s">
        <v>19</v>
      </c>
      <c r="G107" s="6" t="s">
        <v>20</v>
      </c>
      <c r="H107" s="5" t="s">
        <v>41</v>
      </c>
      <c r="I107" s="23">
        <v>13304.11</v>
      </c>
      <c r="J107" s="23">
        <v>16335.99</v>
      </c>
      <c r="K107" s="23">
        <v>899</v>
      </c>
      <c r="L107" s="23"/>
      <c r="M107" s="37">
        <v>4548.92</v>
      </c>
      <c r="N107" s="23">
        <v>338.94</v>
      </c>
      <c r="O107" s="23">
        <f t="shared" si="4"/>
        <v>4887.8599999999997</v>
      </c>
      <c r="P107" s="24">
        <f t="shared" si="2"/>
        <v>0.36739473741573087</v>
      </c>
      <c r="Q107" s="35"/>
      <c r="R107" s="23">
        <v>3775.57</v>
      </c>
      <c r="S107" s="25">
        <f t="shared" si="3"/>
        <v>0.28378974617618163</v>
      </c>
      <c r="T107" s="36"/>
      <c r="U107" s="26">
        <f t="shared" si="5"/>
        <v>0.6511844835919125</v>
      </c>
      <c r="V107" s="36"/>
    </row>
    <row r="108" spans="1:22" x14ac:dyDescent="0.25">
      <c r="A108" s="20">
        <v>107</v>
      </c>
      <c r="B108" s="21" t="s">
        <v>84</v>
      </c>
      <c r="C108" s="21" t="s">
        <v>77</v>
      </c>
      <c r="D108" s="6" t="s">
        <v>85</v>
      </c>
      <c r="E108" s="22">
        <v>3804016</v>
      </c>
      <c r="F108" s="22" t="s">
        <v>21</v>
      </c>
      <c r="G108" s="22" t="s">
        <v>22</v>
      </c>
      <c r="H108" s="14" t="s">
        <v>40</v>
      </c>
      <c r="I108" s="23">
        <f>13920.58-18.48</f>
        <v>13902.1</v>
      </c>
      <c r="J108" s="23">
        <v>14293.01</v>
      </c>
      <c r="K108" s="23">
        <v>857</v>
      </c>
      <c r="L108" s="23"/>
      <c r="M108" s="37">
        <v>4095.11</v>
      </c>
      <c r="N108" s="23">
        <v>175.89</v>
      </c>
      <c r="O108" s="23">
        <f t="shared" si="4"/>
        <v>4271</v>
      </c>
      <c r="P108" s="24">
        <f t="shared" si="2"/>
        <v>0.30721977255234822</v>
      </c>
      <c r="Q108" s="35"/>
      <c r="R108" s="23">
        <v>3141.65</v>
      </c>
      <c r="S108" s="25">
        <f t="shared" si="3"/>
        <v>0.22598384416742795</v>
      </c>
      <c r="T108" s="36"/>
      <c r="U108" s="26">
        <f t="shared" si="5"/>
        <v>0.53320361671977623</v>
      </c>
      <c r="V108" s="36"/>
    </row>
    <row r="109" spans="1:22" x14ac:dyDescent="0.25">
      <c r="A109" s="20">
        <v>108</v>
      </c>
      <c r="B109" s="21" t="s">
        <v>84</v>
      </c>
      <c r="C109" s="21" t="s">
        <v>77</v>
      </c>
      <c r="D109" s="6" t="s">
        <v>85</v>
      </c>
      <c r="E109" s="6">
        <v>3804017</v>
      </c>
      <c r="F109" s="6" t="s">
        <v>23</v>
      </c>
      <c r="G109" s="6" t="s">
        <v>22</v>
      </c>
      <c r="H109" s="5" t="s">
        <v>40</v>
      </c>
      <c r="I109" s="23">
        <v>19110.73</v>
      </c>
      <c r="J109" s="23">
        <v>20484.240000000002</v>
      </c>
      <c r="K109" s="23">
        <v>1230</v>
      </c>
      <c r="L109" s="23"/>
      <c r="M109" s="37">
        <v>5502.62</v>
      </c>
      <c r="N109" s="23">
        <v>180.92</v>
      </c>
      <c r="O109" s="23">
        <f t="shared" si="4"/>
        <v>5683.54</v>
      </c>
      <c r="P109" s="24">
        <f t="shared" si="2"/>
        <v>0.29740046560230826</v>
      </c>
      <c r="Q109" s="35"/>
      <c r="R109" s="23">
        <v>3823.92</v>
      </c>
      <c r="S109" s="25">
        <f t="shared" si="3"/>
        <v>0.20009282743254705</v>
      </c>
      <c r="T109" s="36"/>
      <c r="U109" s="26">
        <f t="shared" si="5"/>
        <v>0.49749329303485534</v>
      </c>
      <c r="V109" s="36"/>
    </row>
    <row r="110" spans="1:22" x14ac:dyDescent="0.25">
      <c r="A110" s="20">
        <v>109</v>
      </c>
      <c r="B110" s="21" t="s">
        <v>84</v>
      </c>
      <c r="C110" s="21" t="s">
        <v>77</v>
      </c>
      <c r="D110" s="6" t="s">
        <v>85</v>
      </c>
      <c r="E110" s="22">
        <v>3804018</v>
      </c>
      <c r="F110" s="22" t="s">
        <v>24</v>
      </c>
      <c r="G110" s="22" t="s">
        <v>20</v>
      </c>
      <c r="H110" s="14" t="s">
        <v>41</v>
      </c>
      <c r="I110" s="47">
        <v>18952.57</v>
      </c>
      <c r="J110" s="23">
        <v>17895.439999999999</v>
      </c>
      <c r="K110" s="23">
        <v>1224</v>
      </c>
      <c r="L110" s="23"/>
      <c r="M110" s="37">
        <v>6009.83</v>
      </c>
      <c r="N110" s="23">
        <v>593</v>
      </c>
      <c r="O110" s="23">
        <f t="shared" si="4"/>
        <v>6602.83</v>
      </c>
      <c r="P110" s="24">
        <f t="shared" si="2"/>
        <v>0.3483870525211093</v>
      </c>
      <c r="Q110" s="35"/>
      <c r="R110" s="23">
        <v>4011.26</v>
      </c>
      <c r="S110" s="25">
        <f t="shared" si="3"/>
        <v>0.21164728582983733</v>
      </c>
      <c r="T110" s="36"/>
      <c r="U110" s="26">
        <f t="shared" si="5"/>
        <v>0.56003433835094663</v>
      </c>
      <c r="V110" s="36"/>
    </row>
    <row r="111" spans="1:22" x14ac:dyDescent="0.25">
      <c r="A111" s="20">
        <v>110</v>
      </c>
      <c r="B111" s="21" t="s">
        <v>84</v>
      </c>
      <c r="C111" s="21" t="s">
        <v>77</v>
      </c>
      <c r="D111" s="6" t="s">
        <v>85</v>
      </c>
      <c r="E111" s="22">
        <v>3804019</v>
      </c>
      <c r="F111" s="6" t="s">
        <v>25</v>
      </c>
      <c r="G111" s="6" t="s">
        <v>20</v>
      </c>
      <c r="H111" s="5" t="s">
        <v>41</v>
      </c>
      <c r="I111" s="23">
        <v>11019.02</v>
      </c>
      <c r="J111" s="23">
        <v>13115.99</v>
      </c>
      <c r="K111" s="23">
        <v>719</v>
      </c>
      <c r="L111" s="23"/>
      <c r="M111" s="37">
        <v>3523.95</v>
      </c>
      <c r="N111" s="23">
        <v>212.79</v>
      </c>
      <c r="O111" s="23">
        <f t="shared" si="4"/>
        <v>3736.74</v>
      </c>
      <c r="P111" s="24">
        <f t="shared" si="2"/>
        <v>0.33911727177189982</v>
      </c>
      <c r="Q111" s="35"/>
      <c r="R111" s="23">
        <v>3130.83</v>
      </c>
      <c r="S111" s="25">
        <f t="shared" si="3"/>
        <v>0.28412962314252987</v>
      </c>
      <c r="T111" s="36"/>
      <c r="U111" s="26">
        <f t="shared" si="5"/>
        <v>0.62324689491442964</v>
      </c>
      <c r="V111" s="36"/>
    </row>
    <row r="112" spans="1:22" x14ac:dyDescent="0.25">
      <c r="A112" s="20">
        <v>111</v>
      </c>
      <c r="B112" s="21" t="s">
        <v>84</v>
      </c>
      <c r="C112" s="21" t="s">
        <v>77</v>
      </c>
      <c r="D112" s="6" t="s">
        <v>85</v>
      </c>
      <c r="E112" s="22">
        <v>3804020</v>
      </c>
      <c r="F112" s="22" t="s">
        <v>26</v>
      </c>
      <c r="G112" s="22" t="s">
        <v>22</v>
      </c>
      <c r="H112" s="14" t="s">
        <v>40</v>
      </c>
      <c r="I112" s="23">
        <v>12000.93</v>
      </c>
      <c r="J112" s="23">
        <v>11859.28</v>
      </c>
      <c r="K112" s="23">
        <v>742</v>
      </c>
      <c r="L112" s="23"/>
      <c r="M112" s="37">
        <v>3006.49</v>
      </c>
      <c r="N112" s="23">
        <v>0</v>
      </c>
      <c r="O112" s="23">
        <f t="shared" si="4"/>
        <v>3006.49</v>
      </c>
      <c r="P112" s="24">
        <f t="shared" si="2"/>
        <v>0.25052141792344423</v>
      </c>
      <c r="Q112" s="35"/>
      <c r="R112" s="23">
        <v>2400.6799999999998</v>
      </c>
      <c r="S112" s="25">
        <f t="shared" si="3"/>
        <v>0.20004116347649722</v>
      </c>
      <c r="T112" s="36"/>
      <c r="U112" s="26">
        <f t="shared" si="5"/>
        <v>0.45056258139994143</v>
      </c>
      <c r="V112" s="36"/>
    </row>
    <row r="113" spans="1:22" x14ac:dyDescent="0.25">
      <c r="A113" s="20">
        <v>112</v>
      </c>
      <c r="B113" s="21" t="s">
        <v>84</v>
      </c>
      <c r="C113" s="21" t="s">
        <v>77</v>
      </c>
      <c r="D113" s="6" t="s">
        <v>85</v>
      </c>
      <c r="E113" s="22">
        <v>3804021</v>
      </c>
      <c r="F113" s="6" t="s">
        <v>27</v>
      </c>
      <c r="G113" s="6" t="s">
        <v>22</v>
      </c>
      <c r="H113" s="5" t="s">
        <v>40</v>
      </c>
      <c r="I113" s="23">
        <v>21654.3</v>
      </c>
      <c r="J113" s="23">
        <v>27905.91</v>
      </c>
      <c r="K113" s="23">
        <v>1343</v>
      </c>
      <c r="L113" s="23"/>
      <c r="M113" s="37">
        <v>6766.69</v>
      </c>
      <c r="N113" s="23">
        <v>671.19</v>
      </c>
      <c r="O113" s="23">
        <f t="shared" si="4"/>
        <v>7437.8799999999992</v>
      </c>
      <c r="P113" s="24">
        <f t="shared" si="2"/>
        <v>0.34348281865495534</v>
      </c>
      <c r="Q113" s="35"/>
      <c r="R113" s="23">
        <v>4665.29</v>
      </c>
      <c r="S113" s="25">
        <f t="shared" si="3"/>
        <v>0.21544404575534651</v>
      </c>
      <c r="T113" s="36"/>
      <c r="U113" s="26">
        <f t="shared" si="5"/>
        <v>0.55892686441030182</v>
      </c>
      <c r="V113" s="36"/>
    </row>
    <row r="114" spans="1:22" x14ac:dyDescent="0.25">
      <c r="A114" s="20">
        <v>113</v>
      </c>
      <c r="B114" s="21" t="s">
        <v>84</v>
      </c>
      <c r="C114" s="21" t="s">
        <v>77</v>
      </c>
      <c r="D114" s="6" t="s">
        <v>85</v>
      </c>
      <c r="E114" s="22">
        <v>3804022</v>
      </c>
      <c r="F114" s="22" t="s">
        <v>28</v>
      </c>
      <c r="G114" s="22" t="s">
        <v>22</v>
      </c>
      <c r="H114" s="14" t="s">
        <v>40</v>
      </c>
      <c r="I114" s="23">
        <v>12842.56</v>
      </c>
      <c r="J114" s="23">
        <v>14007.51</v>
      </c>
      <c r="K114" s="23">
        <v>776</v>
      </c>
      <c r="L114" s="23"/>
      <c r="M114" s="37">
        <f>3764.46-12.35</f>
        <v>3752.11</v>
      </c>
      <c r="N114" s="23">
        <v>645.82000000000005</v>
      </c>
      <c r="O114" s="23">
        <f t="shared" si="4"/>
        <v>4397.93</v>
      </c>
      <c r="P114" s="24">
        <f t="shared" si="2"/>
        <v>0.34244963620960311</v>
      </c>
      <c r="Q114" s="35"/>
      <c r="R114" s="23">
        <v>3171.95</v>
      </c>
      <c r="S114" s="25">
        <f t="shared" si="3"/>
        <v>0.24698736077542172</v>
      </c>
      <c r="T114" s="36"/>
      <c r="U114" s="26">
        <f t="shared" si="5"/>
        <v>0.58943699698502483</v>
      </c>
      <c r="V114" s="36"/>
    </row>
    <row r="115" spans="1:22" x14ac:dyDescent="0.25">
      <c r="A115" s="20">
        <v>114</v>
      </c>
      <c r="B115" s="21" t="s">
        <v>84</v>
      </c>
      <c r="C115" s="21" t="s">
        <v>77</v>
      </c>
      <c r="D115" s="6" t="s">
        <v>85</v>
      </c>
      <c r="E115" s="22">
        <v>3804023</v>
      </c>
      <c r="F115" s="6" t="s">
        <v>29</v>
      </c>
      <c r="G115" s="6" t="s">
        <v>22</v>
      </c>
      <c r="H115" s="5" t="s">
        <v>40</v>
      </c>
      <c r="I115" s="23">
        <v>14830.38</v>
      </c>
      <c r="J115" s="23">
        <v>15822.83</v>
      </c>
      <c r="K115" s="23">
        <v>951</v>
      </c>
      <c r="L115" s="23"/>
      <c r="M115" s="37">
        <v>4820.3100000000004</v>
      </c>
      <c r="N115" s="23">
        <v>572.73</v>
      </c>
      <c r="O115" s="23">
        <f t="shared" si="4"/>
        <v>5393.0400000000009</v>
      </c>
      <c r="P115" s="24">
        <f t="shared" si="2"/>
        <v>0.36364813308897015</v>
      </c>
      <c r="Q115" s="35"/>
      <c r="R115" s="23">
        <v>3202.49</v>
      </c>
      <c r="S115" s="25">
        <f t="shared" si="3"/>
        <v>0.21594119638202122</v>
      </c>
      <c r="T115" s="36"/>
      <c r="U115" s="26">
        <f t="shared" si="5"/>
        <v>0.5795893294709914</v>
      </c>
      <c r="V115" s="36"/>
    </row>
    <row r="116" spans="1:22" x14ac:dyDescent="0.25">
      <c r="A116" s="20">
        <v>115</v>
      </c>
      <c r="B116" s="21" t="s">
        <v>84</v>
      </c>
      <c r="C116" s="21" t="s">
        <v>77</v>
      </c>
      <c r="D116" s="6" t="s">
        <v>85</v>
      </c>
      <c r="E116" s="22">
        <v>3804024</v>
      </c>
      <c r="F116" s="22" t="s">
        <v>30</v>
      </c>
      <c r="G116" s="22" t="s">
        <v>20</v>
      </c>
      <c r="H116" s="14" t="s">
        <v>41</v>
      </c>
      <c r="I116" s="23">
        <v>10331.379999999999</v>
      </c>
      <c r="J116" s="23">
        <v>12441.66</v>
      </c>
      <c r="K116" s="23">
        <v>665</v>
      </c>
      <c r="L116" s="23"/>
      <c r="M116" s="37">
        <f>3026.82-12.35</f>
        <v>3014.4700000000003</v>
      </c>
      <c r="N116" s="23">
        <v>325.44</v>
      </c>
      <c r="O116" s="23">
        <f t="shared" si="4"/>
        <v>3339.9100000000003</v>
      </c>
      <c r="P116" s="24">
        <f t="shared" si="2"/>
        <v>0.32327820678360497</v>
      </c>
      <c r="Q116" s="35"/>
      <c r="R116" s="23">
        <f>3148.3+69.23</f>
        <v>3217.53</v>
      </c>
      <c r="S116" s="25">
        <f t="shared" si="3"/>
        <v>0.31143274180216007</v>
      </c>
      <c r="T116" s="36"/>
      <c r="U116" s="26">
        <f t="shared" si="5"/>
        <v>0.63471094858576504</v>
      </c>
      <c r="V116" s="36"/>
    </row>
    <row r="117" spans="1:22" x14ac:dyDescent="0.25">
      <c r="A117" s="20">
        <v>116</v>
      </c>
      <c r="B117" s="21" t="s">
        <v>84</v>
      </c>
      <c r="C117" s="21" t="s">
        <v>77</v>
      </c>
      <c r="D117" s="6" t="s">
        <v>85</v>
      </c>
      <c r="E117" s="22">
        <v>3804025</v>
      </c>
      <c r="F117" s="6" t="s">
        <v>31</v>
      </c>
      <c r="G117" s="6" t="s">
        <v>20</v>
      </c>
      <c r="H117" s="5" t="s">
        <v>41</v>
      </c>
      <c r="I117" s="23">
        <v>23488.28</v>
      </c>
      <c r="J117" s="23">
        <v>26415.94</v>
      </c>
      <c r="K117" s="23">
        <v>1516</v>
      </c>
      <c r="L117" s="23"/>
      <c r="M117" s="37">
        <f>6938.51-2</f>
        <v>6936.51</v>
      </c>
      <c r="N117" s="23">
        <v>595.16999999999996</v>
      </c>
      <c r="O117" s="23">
        <f t="shared" si="4"/>
        <v>7531.68</v>
      </c>
      <c r="P117" s="24">
        <f t="shared" si="2"/>
        <v>0.32065694039750892</v>
      </c>
      <c r="Q117" s="35"/>
      <c r="R117" s="23">
        <v>5466.39</v>
      </c>
      <c r="S117" s="25">
        <f t="shared" si="3"/>
        <v>0.23272840752920182</v>
      </c>
      <c r="T117" s="36"/>
      <c r="U117" s="26">
        <f t="shared" si="5"/>
        <v>0.55338534792671079</v>
      </c>
      <c r="V117" s="36"/>
    </row>
    <row r="118" spans="1:22" x14ac:dyDescent="0.25">
      <c r="A118" s="20">
        <v>117</v>
      </c>
      <c r="B118" s="21" t="s">
        <v>84</v>
      </c>
      <c r="C118" s="21" t="s">
        <v>77</v>
      </c>
      <c r="D118" s="6" t="s">
        <v>85</v>
      </c>
      <c r="E118" s="22">
        <v>3804026</v>
      </c>
      <c r="F118" s="22" t="s">
        <v>32</v>
      </c>
      <c r="G118" s="22" t="s">
        <v>79</v>
      </c>
      <c r="H118" s="15" t="s">
        <v>41</v>
      </c>
      <c r="I118" s="23">
        <v>11566.04</v>
      </c>
      <c r="J118" s="23">
        <v>11945.17</v>
      </c>
      <c r="K118" s="23">
        <v>742</v>
      </c>
      <c r="L118" s="23"/>
      <c r="M118" s="37">
        <f>-37.05-10.71+3588.95</f>
        <v>3541.1899999999996</v>
      </c>
      <c r="N118" s="23">
        <v>227.49</v>
      </c>
      <c r="O118" s="23">
        <f t="shared" si="4"/>
        <v>3768.6799999999994</v>
      </c>
      <c r="P118" s="24">
        <f t="shared" si="2"/>
        <v>0.32584013197256789</v>
      </c>
      <c r="Q118" s="35"/>
      <c r="R118" s="23">
        <v>3633.32</v>
      </c>
      <c r="S118" s="25">
        <f t="shared" si="3"/>
        <v>0.31413690424726182</v>
      </c>
      <c r="T118" s="36"/>
      <c r="U118" s="26">
        <f t="shared" si="5"/>
        <v>0.63997703621982971</v>
      </c>
      <c r="V118" s="36"/>
    </row>
    <row r="119" spans="1:22" x14ac:dyDescent="0.25">
      <c r="A119" s="20">
        <v>118</v>
      </c>
      <c r="B119" s="21" t="s">
        <v>84</v>
      </c>
      <c r="C119" s="21" t="s">
        <v>77</v>
      </c>
      <c r="D119" s="6" t="s">
        <v>85</v>
      </c>
      <c r="E119" s="22">
        <v>3804027</v>
      </c>
      <c r="F119" s="6" t="s">
        <v>33</v>
      </c>
      <c r="G119" s="5" t="s">
        <v>43</v>
      </c>
      <c r="H119" s="5" t="s">
        <v>41</v>
      </c>
      <c r="I119" s="23">
        <v>18186.57</v>
      </c>
      <c r="J119" s="23">
        <v>11825.06</v>
      </c>
      <c r="K119" s="23">
        <v>1289</v>
      </c>
      <c r="L119" s="23"/>
      <c r="M119" s="37">
        <f>5077.47-1-64.92</f>
        <v>5011.55</v>
      </c>
      <c r="N119" s="23">
        <v>225.08</v>
      </c>
      <c r="O119" s="23">
        <f t="shared" si="4"/>
        <v>5236.63</v>
      </c>
      <c r="P119" s="24">
        <f t="shared" si="2"/>
        <v>0.28793939703858396</v>
      </c>
      <c r="Q119" s="35"/>
      <c r="R119" s="23">
        <f>2076.35+277+1600</f>
        <v>3953.35</v>
      </c>
      <c r="S119" s="25">
        <f t="shared" si="3"/>
        <v>0.21737743840647247</v>
      </c>
      <c r="T119" s="36"/>
      <c r="U119" s="26">
        <f t="shared" si="5"/>
        <v>0.50531683544505646</v>
      </c>
      <c r="V119" s="36"/>
    </row>
    <row r="120" spans="1:22" x14ac:dyDescent="0.25">
      <c r="A120" s="20">
        <v>119</v>
      </c>
      <c r="B120" s="21" t="s">
        <v>84</v>
      </c>
      <c r="C120" s="21" t="s">
        <v>77</v>
      </c>
      <c r="D120" s="6" t="s">
        <v>85</v>
      </c>
      <c r="E120" s="22">
        <v>3804029</v>
      </c>
      <c r="F120" s="22" t="s">
        <v>34</v>
      </c>
      <c r="G120" s="22" t="s">
        <v>79</v>
      </c>
      <c r="H120" s="14" t="s">
        <v>41</v>
      </c>
      <c r="I120" s="23">
        <v>11551.82</v>
      </c>
      <c r="J120" s="23">
        <v>8764.4699999999993</v>
      </c>
      <c r="K120" s="23">
        <v>779</v>
      </c>
      <c r="L120" s="23"/>
      <c r="M120" s="37">
        <f>3724.71-1-53.59</f>
        <v>3670.12</v>
      </c>
      <c r="N120" s="23">
        <f>255.29+272.72</f>
        <v>528.01</v>
      </c>
      <c r="O120" s="23">
        <f t="shared" si="4"/>
        <v>4198.13</v>
      </c>
      <c r="P120" s="24">
        <f t="shared" si="2"/>
        <v>0.36341719313493459</v>
      </c>
      <c r="Q120" s="35"/>
      <c r="R120" s="23">
        <f>210.81+2370</f>
        <v>2580.81</v>
      </c>
      <c r="S120" s="25">
        <f t="shared" si="3"/>
        <v>0.22341154900266799</v>
      </c>
      <c r="T120" s="36"/>
      <c r="U120" s="26">
        <f t="shared" si="5"/>
        <v>0.58682874213760261</v>
      </c>
      <c r="V120" s="36"/>
    </row>
    <row r="121" spans="1:22" x14ac:dyDescent="0.25">
      <c r="A121" s="20">
        <v>120</v>
      </c>
      <c r="B121" s="21" t="s">
        <v>84</v>
      </c>
      <c r="C121" s="21" t="s">
        <v>77</v>
      </c>
      <c r="D121" s="6" t="s">
        <v>85</v>
      </c>
      <c r="E121" s="22">
        <v>3804030</v>
      </c>
      <c r="F121" s="6" t="s">
        <v>35</v>
      </c>
      <c r="G121" s="6" t="s">
        <v>5</v>
      </c>
      <c r="H121" s="5" t="s">
        <v>40</v>
      </c>
      <c r="I121" s="23">
        <v>9124.08</v>
      </c>
      <c r="J121" s="23">
        <v>8366.11</v>
      </c>
      <c r="K121" s="23">
        <v>574</v>
      </c>
      <c r="L121" s="23"/>
      <c r="M121" s="23">
        <f>2544.37-12.38</f>
        <v>2531.9899999999998</v>
      </c>
      <c r="N121" s="23">
        <f>-22.64+189.09</f>
        <v>166.45</v>
      </c>
      <c r="O121" s="23">
        <f t="shared" si="4"/>
        <v>2698.4399999999996</v>
      </c>
      <c r="P121" s="24">
        <f t="shared" si="2"/>
        <v>0.29574927006339263</v>
      </c>
      <c r="Q121" s="35"/>
      <c r="R121" s="23">
        <v>2562.87</v>
      </c>
      <c r="S121" s="25">
        <f t="shared" si="3"/>
        <v>0.28089078570113368</v>
      </c>
      <c r="T121" s="36"/>
      <c r="U121" s="26">
        <f t="shared" si="5"/>
        <v>0.57664005576452637</v>
      </c>
      <c r="V121" s="36"/>
    </row>
    <row r="122" spans="1:22" x14ac:dyDescent="0.25">
      <c r="A122" s="20">
        <v>121</v>
      </c>
      <c r="B122" s="21" t="s">
        <v>84</v>
      </c>
      <c r="C122" s="21" t="s">
        <v>77</v>
      </c>
      <c r="D122" s="6" t="s">
        <v>85</v>
      </c>
      <c r="E122" s="22">
        <v>3804031</v>
      </c>
      <c r="F122" s="22" t="s">
        <v>36</v>
      </c>
      <c r="G122" s="22" t="s">
        <v>5</v>
      </c>
      <c r="H122" s="14" t="s">
        <v>40</v>
      </c>
      <c r="I122" s="23">
        <v>10411.530000000001</v>
      </c>
      <c r="J122" s="23">
        <v>9039.35</v>
      </c>
      <c r="K122" s="23">
        <v>688</v>
      </c>
      <c r="L122" s="23"/>
      <c r="M122" s="23">
        <f>3166.79-226.97</f>
        <v>2939.82</v>
      </c>
      <c r="N122" s="23">
        <v>289.23</v>
      </c>
      <c r="O122" s="23">
        <f t="shared" si="4"/>
        <v>3229.05</v>
      </c>
      <c r="P122" s="24">
        <f t="shared" si="2"/>
        <v>0.31014173709339549</v>
      </c>
      <c r="Q122" s="35"/>
      <c r="R122" s="37">
        <f>1845.37+960</f>
        <v>2805.37</v>
      </c>
      <c r="S122" s="25">
        <f t="shared" si="3"/>
        <v>0.26944839039026924</v>
      </c>
      <c r="T122" s="36"/>
      <c r="U122" s="26">
        <f t="shared" si="5"/>
        <v>0.57959012748366479</v>
      </c>
      <c r="V122" s="36"/>
    </row>
    <row r="123" spans="1:22" x14ac:dyDescent="0.25">
      <c r="A123" s="20">
        <v>122</v>
      </c>
      <c r="B123" s="21" t="s">
        <v>84</v>
      </c>
      <c r="C123" s="21" t="s">
        <v>77</v>
      </c>
      <c r="D123" s="6" t="s">
        <v>85</v>
      </c>
      <c r="E123" s="22">
        <v>3804032</v>
      </c>
      <c r="F123" s="6" t="s">
        <v>37</v>
      </c>
      <c r="G123" s="6" t="s">
        <v>5</v>
      </c>
      <c r="H123" s="5" t="s">
        <v>40</v>
      </c>
      <c r="I123" s="23">
        <v>8809.57</v>
      </c>
      <c r="J123" s="23">
        <v>5260.4</v>
      </c>
      <c r="K123" s="23">
        <v>564</v>
      </c>
      <c r="L123" s="23"/>
      <c r="M123" s="23">
        <f>2741.37-12.35</f>
        <v>2729.02</v>
      </c>
      <c r="N123" s="23">
        <v>0</v>
      </c>
      <c r="O123" s="23">
        <f t="shared" si="4"/>
        <v>2729.02</v>
      </c>
      <c r="P123" s="24">
        <f t="shared" si="2"/>
        <v>0.30977902440187205</v>
      </c>
      <c r="Q123" s="24"/>
      <c r="R123" s="23">
        <f>1350+850+200</f>
        <v>2400</v>
      </c>
      <c r="S123" s="25">
        <f t="shared" si="3"/>
        <v>0.27243100401041143</v>
      </c>
      <c r="T123" s="36"/>
      <c r="U123" s="26">
        <f t="shared" si="5"/>
        <v>0.58221002841228353</v>
      </c>
      <c r="V123" s="36"/>
    </row>
    <row r="124" spans="1:22" x14ac:dyDescent="0.25">
      <c r="A124" s="20">
        <v>123</v>
      </c>
      <c r="B124" s="21" t="s">
        <v>84</v>
      </c>
      <c r="C124" s="21" t="s">
        <v>77</v>
      </c>
      <c r="D124" s="6" t="s">
        <v>85</v>
      </c>
      <c r="E124" s="22">
        <v>3804033</v>
      </c>
      <c r="F124" s="22" t="s">
        <v>38</v>
      </c>
      <c r="G124" s="22" t="s">
        <v>5</v>
      </c>
      <c r="H124" s="14" t="s">
        <v>40</v>
      </c>
      <c r="I124" s="23">
        <v>8280.2199999999993</v>
      </c>
      <c r="J124" s="23">
        <v>6827.08</v>
      </c>
      <c r="K124" s="23">
        <v>624</v>
      </c>
      <c r="L124" s="23"/>
      <c r="M124" s="23">
        <v>2113.5</v>
      </c>
      <c r="N124" s="23">
        <v>361.77</v>
      </c>
      <c r="O124" s="23">
        <f t="shared" si="4"/>
        <v>2475.27</v>
      </c>
      <c r="P124" s="24">
        <f t="shared" si="2"/>
        <v>0.29893770938453329</v>
      </c>
      <c r="Q124" s="24"/>
      <c r="R124" s="23">
        <f>1100+850+165.58</f>
        <v>2115.58</v>
      </c>
      <c r="S124" s="25">
        <f t="shared" si="3"/>
        <v>0.25549804232254697</v>
      </c>
      <c r="T124" s="36"/>
      <c r="U124" s="26">
        <f t="shared" si="5"/>
        <v>0.55443575170708026</v>
      </c>
      <c r="V124" s="36"/>
    </row>
    <row r="125" spans="1:22" x14ac:dyDescent="0.25">
      <c r="A125" s="20">
        <v>124</v>
      </c>
      <c r="B125" s="21" t="s">
        <v>84</v>
      </c>
      <c r="C125" s="21" t="s">
        <v>77</v>
      </c>
      <c r="D125" s="6" t="s">
        <v>85</v>
      </c>
      <c r="E125" s="22">
        <v>3804034</v>
      </c>
      <c r="F125" s="6" t="s">
        <v>53</v>
      </c>
      <c r="G125" s="22" t="s">
        <v>79</v>
      </c>
      <c r="H125" s="5" t="s">
        <v>41</v>
      </c>
      <c r="I125" s="23">
        <v>8118.64</v>
      </c>
      <c r="J125" s="23">
        <v>0</v>
      </c>
      <c r="K125" s="23">
        <v>491</v>
      </c>
      <c r="L125" s="23"/>
      <c r="M125" s="23">
        <v>1894.04</v>
      </c>
      <c r="N125" s="23">
        <v>0</v>
      </c>
      <c r="O125" s="23">
        <f t="shared" si="4"/>
        <v>1894.04</v>
      </c>
      <c r="P125" s="24">
        <f t="shared" si="2"/>
        <v>0.23329523171368602</v>
      </c>
      <c r="Q125" s="24"/>
      <c r="R125" s="23">
        <f>538.1+2400</f>
        <v>2938.1</v>
      </c>
      <c r="S125" s="25">
        <f t="shared" si="3"/>
        <v>0.36189558842367686</v>
      </c>
      <c r="T125" s="36"/>
      <c r="U125" s="26">
        <f t="shared" si="5"/>
        <v>0.59519082013736291</v>
      </c>
      <c r="V125" s="36"/>
    </row>
    <row r="126" spans="1:22" x14ac:dyDescent="0.25">
      <c r="A126" s="20">
        <v>125</v>
      </c>
      <c r="B126" s="21" t="s">
        <v>86</v>
      </c>
      <c r="C126" s="21" t="s">
        <v>87</v>
      </c>
      <c r="D126" s="6" t="s">
        <v>88</v>
      </c>
      <c r="E126" s="22">
        <v>3804001</v>
      </c>
      <c r="F126" s="22" t="s">
        <v>4</v>
      </c>
      <c r="G126" s="22" t="s">
        <v>5</v>
      </c>
      <c r="H126" s="5" t="s">
        <v>40</v>
      </c>
      <c r="I126" s="23">
        <v>28854.400000000001</v>
      </c>
      <c r="J126" s="23">
        <v>26285.9</v>
      </c>
      <c r="K126" s="23">
        <v>1860</v>
      </c>
      <c r="L126" s="23"/>
      <c r="M126" s="23">
        <f>7489.7-25</f>
        <v>7464.7</v>
      </c>
      <c r="N126" s="23">
        <v>650.39</v>
      </c>
      <c r="O126" s="23">
        <f t="shared" si="4"/>
        <v>8115.09</v>
      </c>
      <c r="P126" s="24">
        <f t="shared" si="2"/>
        <v>0.2812427220805146</v>
      </c>
      <c r="Q126" s="24"/>
      <c r="R126" s="23">
        <f>165.58+5294.03</f>
        <v>5459.61</v>
      </c>
      <c r="S126" s="25">
        <f t="shared" si="3"/>
        <v>0.18921239048464011</v>
      </c>
      <c r="T126" s="36"/>
      <c r="U126" s="26">
        <f t="shared" si="5"/>
        <v>0.47045511256515471</v>
      </c>
      <c r="V126" s="36"/>
    </row>
    <row r="127" spans="1:22" x14ac:dyDescent="0.25">
      <c r="A127" s="20">
        <v>126</v>
      </c>
      <c r="B127" s="21" t="s">
        <v>86</v>
      </c>
      <c r="C127" s="21" t="s">
        <v>87</v>
      </c>
      <c r="D127" s="6" t="s">
        <v>88</v>
      </c>
      <c r="E127" s="22">
        <v>3804002</v>
      </c>
      <c r="F127" s="22" t="s">
        <v>6</v>
      </c>
      <c r="G127" s="22" t="s">
        <v>7</v>
      </c>
      <c r="H127" s="14" t="s">
        <v>41</v>
      </c>
      <c r="I127" s="23">
        <v>15237.28</v>
      </c>
      <c r="J127" s="23">
        <v>13532.53</v>
      </c>
      <c r="K127" s="23">
        <v>1160</v>
      </c>
      <c r="L127" s="23"/>
      <c r="M127" s="23">
        <f>58.98+3226.91-23</f>
        <v>3262.89</v>
      </c>
      <c r="N127" s="23">
        <v>361.62</v>
      </c>
      <c r="O127" s="23">
        <f t="shared" ref="O127:O158" si="6">+M127+N127</f>
        <v>3624.5099999999998</v>
      </c>
      <c r="P127" s="24">
        <f t="shared" si="2"/>
        <v>0.23787119485892494</v>
      </c>
      <c r="Q127" s="24"/>
      <c r="R127" s="23">
        <v>3640.01</v>
      </c>
      <c r="S127" s="25">
        <f t="shared" si="3"/>
        <v>0.23888843678136781</v>
      </c>
      <c r="T127" s="36"/>
      <c r="U127" s="26">
        <f t="shared" ref="U127:U158" si="7">+S127+P127</f>
        <v>0.47675963164029278</v>
      </c>
      <c r="V127" s="36"/>
    </row>
    <row r="128" spans="1:22" x14ac:dyDescent="0.25">
      <c r="A128" s="20">
        <v>127</v>
      </c>
      <c r="B128" s="21" t="s">
        <v>86</v>
      </c>
      <c r="C128" s="21" t="s">
        <v>87</v>
      </c>
      <c r="D128" s="6" t="s">
        <v>88</v>
      </c>
      <c r="E128" s="22">
        <v>3804003</v>
      </c>
      <c r="F128" s="22" t="s">
        <v>8</v>
      </c>
      <c r="G128" s="22" t="s">
        <v>7</v>
      </c>
      <c r="H128" s="5" t="s">
        <v>41</v>
      </c>
      <c r="I128" s="23">
        <v>11944.33</v>
      </c>
      <c r="J128" s="23">
        <v>6084.49</v>
      </c>
      <c r="K128" s="23">
        <v>765</v>
      </c>
      <c r="L128" s="23"/>
      <c r="M128" s="23">
        <f>3156.57-8</f>
        <v>3148.57</v>
      </c>
      <c r="N128" s="23">
        <v>407.78</v>
      </c>
      <c r="O128" s="23">
        <f t="shared" si="6"/>
        <v>3556.3500000000004</v>
      </c>
      <c r="P128" s="24">
        <f t="shared" si="2"/>
        <v>0.29774378303345606</v>
      </c>
      <c r="Q128" s="24"/>
      <c r="R128" s="23">
        <f>3189.93+50</f>
        <v>3239.93</v>
      </c>
      <c r="S128" s="25">
        <f t="shared" si="3"/>
        <v>0.27125255246631663</v>
      </c>
      <c r="T128" s="36"/>
      <c r="U128" s="26">
        <f t="shared" si="7"/>
        <v>0.56899633549977269</v>
      </c>
      <c r="V128" s="36"/>
    </row>
    <row r="129" spans="1:22" x14ac:dyDescent="0.25">
      <c r="A129" s="20">
        <v>128</v>
      </c>
      <c r="B129" s="21" t="s">
        <v>86</v>
      </c>
      <c r="C129" s="21" t="s">
        <v>87</v>
      </c>
      <c r="D129" s="6" t="s">
        <v>88</v>
      </c>
      <c r="E129" s="22">
        <v>3804004</v>
      </c>
      <c r="F129" s="22" t="s">
        <v>9</v>
      </c>
      <c r="G129" s="22" t="s">
        <v>7</v>
      </c>
      <c r="H129" s="14" t="s">
        <v>41</v>
      </c>
      <c r="I129" s="23">
        <v>17809.88</v>
      </c>
      <c r="J129" s="23">
        <v>15044.7</v>
      </c>
      <c r="K129" s="23">
        <v>1226</v>
      </c>
      <c r="L129" s="23"/>
      <c r="M129" s="23">
        <f>3970.61-11</f>
        <v>3959.61</v>
      </c>
      <c r="N129" s="23">
        <v>466.67</v>
      </c>
      <c r="O129" s="23">
        <f t="shared" si="6"/>
        <v>4426.28</v>
      </c>
      <c r="P129" s="24">
        <f t="shared" si="2"/>
        <v>0.24852946791331551</v>
      </c>
      <c r="Q129" s="24"/>
      <c r="R129" s="23">
        <v>3865.72</v>
      </c>
      <c r="S129" s="25">
        <f t="shared" si="3"/>
        <v>0.21705480328896093</v>
      </c>
      <c r="T129" s="36"/>
      <c r="U129" s="26">
        <f t="shared" si="7"/>
        <v>0.46558427120227641</v>
      </c>
      <c r="V129" s="36"/>
    </row>
    <row r="130" spans="1:22" x14ac:dyDescent="0.25">
      <c r="A130" s="20">
        <v>129</v>
      </c>
      <c r="B130" s="21" t="s">
        <v>86</v>
      </c>
      <c r="C130" s="21" t="s">
        <v>87</v>
      </c>
      <c r="D130" s="6" t="s">
        <v>88</v>
      </c>
      <c r="E130" s="6">
        <v>3804005</v>
      </c>
      <c r="F130" s="22" t="s">
        <v>10</v>
      </c>
      <c r="G130" s="22" t="s">
        <v>7</v>
      </c>
      <c r="H130" s="5" t="s">
        <v>41</v>
      </c>
      <c r="I130" s="23">
        <v>14646.61</v>
      </c>
      <c r="J130" s="23">
        <v>14335.62</v>
      </c>
      <c r="K130" s="23">
        <v>945</v>
      </c>
      <c r="L130" s="23"/>
      <c r="M130" s="23">
        <f>3201.86-12.35-22+523.13</f>
        <v>3690.6400000000003</v>
      </c>
      <c r="N130" s="23">
        <f>758.18+575.12</f>
        <v>1333.3</v>
      </c>
      <c r="O130" s="23">
        <f t="shared" si="6"/>
        <v>5023.9400000000005</v>
      </c>
      <c r="P130" s="24">
        <f t="shared" ref="P130:P193" si="8">IFERROR(((M130+N130)/I130),0)</f>
        <v>0.34301043039993556</v>
      </c>
      <c r="Q130" s="24"/>
      <c r="R130" s="23">
        <v>3459.82</v>
      </c>
      <c r="S130" s="25">
        <f t="shared" ref="S130:S193" si="9">+R130/I130</f>
        <v>0.23621984882508648</v>
      </c>
      <c r="T130" s="36"/>
      <c r="U130" s="26">
        <f t="shared" si="7"/>
        <v>0.57923027922502202</v>
      </c>
      <c r="V130" s="36"/>
    </row>
    <row r="131" spans="1:22" x14ac:dyDescent="0.25">
      <c r="A131" s="20">
        <v>130</v>
      </c>
      <c r="B131" s="21" t="s">
        <v>86</v>
      </c>
      <c r="C131" s="21" t="s">
        <v>87</v>
      </c>
      <c r="D131" s="6" t="s">
        <v>88</v>
      </c>
      <c r="E131" s="22">
        <v>3804006</v>
      </c>
      <c r="F131" s="22" t="s">
        <v>11</v>
      </c>
      <c r="G131" s="22" t="s">
        <v>7</v>
      </c>
      <c r="H131" s="14" t="s">
        <v>41</v>
      </c>
      <c r="I131" s="23">
        <v>7385.86</v>
      </c>
      <c r="J131" s="23">
        <v>9919.31</v>
      </c>
      <c r="K131" s="23">
        <v>566</v>
      </c>
      <c r="L131" s="23"/>
      <c r="M131" s="23">
        <f>105.54+2358.61+107.18-16</f>
        <v>2555.33</v>
      </c>
      <c r="N131" s="23">
        <v>0</v>
      </c>
      <c r="O131" s="23">
        <f t="shared" si="6"/>
        <v>2555.33</v>
      </c>
      <c r="P131" s="24">
        <f t="shared" si="8"/>
        <v>0.34597595946849791</v>
      </c>
      <c r="Q131" s="24"/>
      <c r="R131" s="23">
        <v>2173.9</v>
      </c>
      <c r="S131" s="25">
        <f t="shared" si="9"/>
        <v>0.29433268434549265</v>
      </c>
      <c r="T131" s="36"/>
      <c r="U131" s="26">
        <f t="shared" si="7"/>
        <v>0.64030864381399055</v>
      </c>
      <c r="V131" s="36"/>
    </row>
    <row r="132" spans="1:22" x14ac:dyDescent="0.25">
      <c r="A132" s="20">
        <v>131</v>
      </c>
      <c r="B132" s="21" t="s">
        <v>86</v>
      </c>
      <c r="C132" s="21" t="s">
        <v>87</v>
      </c>
      <c r="D132" s="6" t="s">
        <v>88</v>
      </c>
      <c r="E132" s="22">
        <v>3804008</v>
      </c>
      <c r="F132" s="22" t="s">
        <v>12</v>
      </c>
      <c r="G132" s="5" t="s">
        <v>42</v>
      </c>
      <c r="H132" s="5" t="s">
        <v>41</v>
      </c>
      <c r="I132" s="23">
        <v>22102.29</v>
      </c>
      <c r="J132" s="23">
        <v>19113.25</v>
      </c>
      <c r="K132" s="23">
        <v>1392</v>
      </c>
      <c r="L132" s="23"/>
      <c r="M132" s="23">
        <f>5771.02-12.35-63</f>
        <v>5695.67</v>
      </c>
      <c r="N132" s="23">
        <v>0</v>
      </c>
      <c r="O132" s="23">
        <f t="shared" si="6"/>
        <v>5695.67</v>
      </c>
      <c r="P132" s="24">
        <f t="shared" si="8"/>
        <v>0.25769592200627173</v>
      </c>
      <c r="Q132" s="24"/>
      <c r="R132" s="23">
        <f>684.12+4606</f>
        <v>5290.12</v>
      </c>
      <c r="S132" s="25">
        <f t="shared" si="9"/>
        <v>0.23934714457189729</v>
      </c>
      <c r="T132" s="36"/>
      <c r="U132" s="26">
        <f t="shared" si="7"/>
        <v>0.49704306657816899</v>
      </c>
      <c r="V132" s="36"/>
    </row>
    <row r="133" spans="1:22" x14ac:dyDescent="0.25">
      <c r="A133" s="20">
        <v>132</v>
      </c>
      <c r="B133" s="21" t="s">
        <v>86</v>
      </c>
      <c r="C133" s="21" t="s">
        <v>87</v>
      </c>
      <c r="D133" s="6" t="s">
        <v>88</v>
      </c>
      <c r="E133" s="22">
        <v>3804009</v>
      </c>
      <c r="F133" s="22" t="s">
        <v>13</v>
      </c>
      <c r="G133" s="14" t="s">
        <v>42</v>
      </c>
      <c r="H133" s="14" t="s">
        <v>41</v>
      </c>
      <c r="I133" s="23">
        <v>15965.57</v>
      </c>
      <c r="J133" s="23">
        <v>12542.77</v>
      </c>
      <c r="K133" s="23">
        <v>992</v>
      </c>
      <c r="L133" s="23"/>
      <c r="M133" s="23">
        <f>4146.02-52</f>
        <v>4094.0200000000004</v>
      </c>
      <c r="N133" s="23">
        <v>454.45</v>
      </c>
      <c r="O133" s="23">
        <f t="shared" si="6"/>
        <v>4548.47</v>
      </c>
      <c r="P133" s="24">
        <f t="shared" si="8"/>
        <v>0.28489242789327285</v>
      </c>
      <c r="Q133" s="24"/>
      <c r="R133" s="23">
        <v>4203</v>
      </c>
      <c r="S133" s="25">
        <f t="shared" si="9"/>
        <v>0.26325398967904057</v>
      </c>
      <c r="T133" s="36"/>
      <c r="U133" s="26">
        <f t="shared" si="7"/>
        <v>0.54814641757231342</v>
      </c>
      <c r="V133" s="36"/>
    </row>
    <row r="134" spans="1:22" x14ac:dyDescent="0.25">
      <c r="A134" s="20">
        <v>133</v>
      </c>
      <c r="B134" s="21" t="s">
        <v>86</v>
      </c>
      <c r="C134" s="21" t="s">
        <v>87</v>
      </c>
      <c r="D134" s="6" t="s">
        <v>88</v>
      </c>
      <c r="E134" s="6">
        <v>3804010</v>
      </c>
      <c r="F134" s="22" t="s">
        <v>14</v>
      </c>
      <c r="G134" s="5" t="s">
        <v>42</v>
      </c>
      <c r="H134" s="5" t="s">
        <v>41</v>
      </c>
      <c r="I134" s="23">
        <v>8095.87</v>
      </c>
      <c r="J134" s="23">
        <v>7730.05</v>
      </c>
      <c r="K134" s="23">
        <v>460</v>
      </c>
      <c r="L134" s="23"/>
      <c r="M134" s="23">
        <f>2009.03-24</f>
        <v>1985.03</v>
      </c>
      <c r="N134" s="23">
        <v>228.81</v>
      </c>
      <c r="O134" s="23">
        <f t="shared" si="6"/>
        <v>2213.84</v>
      </c>
      <c r="P134" s="24">
        <f t="shared" si="8"/>
        <v>0.27345300752111884</v>
      </c>
      <c r="Q134" s="24"/>
      <c r="R134" s="23">
        <v>2148</v>
      </c>
      <c r="S134" s="25">
        <f t="shared" si="9"/>
        <v>0.26532046586716435</v>
      </c>
      <c r="T134" s="36"/>
      <c r="U134" s="26">
        <f t="shared" si="7"/>
        <v>0.53877347338828319</v>
      </c>
      <c r="V134" s="36"/>
    </row>
    <row r="135" spans="1:22" x14ac:dyDescent="0.25">
      <c r="A135" s="20">
        <v>134</v>
      </c>
      <c r="B135" s="21" t="s">
        <v>86</v>
      </c>
      <c r="C135" s="21" t="s">
        <v>87</v>
      </c>
      <c r="D135" s="6" t="s">
        <v>88</v>
      </c>
      <c r="E135" s="22">
        <v>3804011</v>
      </c>
      <c r="F135" s="22" t="s">
        <v>15</v>
      </c>
      <c r="G135" s="22" t="s">
        <v>16</v>
      </c>
      <c r="H135" s="14" t="s">
        <v>41</v>
      </c>
      <c r="I135" s="18">
        <v>26586.65</v>
      </c>
      <c r="J135" s="23">
        <v>24271.17</v>
      </c>
      <c r="K135" s="23">
        <v>1707</v>
      </c>
      <c r="L135" s="23"/>
      <c r="M135" s="23">
        <f>6186.51-25</f>
        <v>6161.51</v>
      </c>
      <c r="N135" s="23">
        <v>550.29999999999995</v>
      </c>
      <c r="O135" s="23">
        <f t="shared" si="6"/>
        <v>6711.81</v>
      </c>
      <c r="P135" s="24">
        <f t="shared" si="8"/>
        <v>0.25245038393328983</v>
      </c>
      <c r="Q135" s="24"/>
      <c r="R135" s="23">
        <f>3729.64+1096.15</f>
        <v>4825.79</v>
      </c>
      <c r="S135" s="25">
        <f t="shared" si="9"/>
        <v>0.18151177376615707</v>
      </c>
      <c r="T135" s="36"/>
      <c r="U135" s="26">
        <f t="shared" si="7"/>
        <v>0.4339621576994469</v>
      </c>
      <c r="V135" s="36"/>
    </row>
    <row r="136" spans="1:22" x14ac:dyDescent="0.25">
      <c r="A136" s="20">
        <v>135</v>
      </c>
      <c r="B136" s="21" t="s">
        <v>86</v>
      </c>
      <c r="C136" s="21" t="s">
        <v>87</v>
      </c>
      <c r="D136" s="6" t="s">
        <v>88</v>
      </c>
      <c r="E136" s="22">
        <v>3804013</v>
      </c>
      <c r="F136" s="6" t="s">
        <v>17</v>
      </c>
      <c r="G136" s="6" t="s">
        <v>16</v>
      </c>
      <c r="H136" s="5" t="s">
        <v>41</v>
      </c>
      <c r="I136" s="23">
        <v>8704.42</v>
      </c>
      <c r="J136" s="23">
        <v>7155.84</v>
      </c>
      <c r="K136" s="23">
        <v>552</v>
      </c>
      <c r="L136" s="23"/>
      <c r="M136" s="23">
        <f>1641.95-19</f>
        <v>1622.95</v>
      </c>
      <c r="N136" s="23">
        <v>0</v>
      </c>
      <c r="O136" s="23">
        <f t="shared" si="6"/>
        <v>1622.95</v>
      </c>
      <c r="P136" s="24">
        <f t="shared" si="8"/>
        <v>0.18645125120341161</v>
      </c>
      <c r="Q136" s="24"/>
      <c r="R136" s="23">
        <v>2117.8200000000002</v>
      </c>
      <c r="S136" s="25">
        <f t="shared" si="9"/>
        <v>0.24330397660039385</v>
      </c>
      <c r="T136" s="36"/>
      <c r="U136" s="26">
        <f t="shared" si="7"/>
        <v>0.42975522780380548</v>
      </c>
      <c r="V136" s="36"/>
    </row>
    <row r="137" spans="1:22" x14ac:dyDescent="0.25">
      <c r="A137" s="20">
        <v>136</v>
      </c>
      <c r="B137" s="21" t="s">
        <v>86</v>
      </c>
      <c r="C137" s="21" t="s">
        <v>87</v>
      </c>
      <c r="D137" s="6" t="s">
        <v>88</v>
      </c>
      <c r="E137" s="22">
        <v>3804014</v>
      </c>
      <c r="F137" s="22" t="s">
        <v>18</v>
      </c>
      <c r="G137" s="22" t="s">
        <v>16</v>
      </c>
      <c r="H137" s="14" t="s">
        <v>41</v>
      </c>
      <c r="I137" s="23">
        <v>7394.33</v>
      </c>
      <c r="J137" s="23">
        <v>8708.99</v>
      </c>
      <c r="K137" s="23">
        <v>489</v>
      </c>
      <c r="L137" s="23"/>
      <c r="M137" s="23">
        <f>2034.35-15</f>
        <v>2019.35</v>
      </c>
      <c r="N137" s="23">
        <v>0</v>
      </c>
      <c r="O137" s="23">
        <f t="shared" si="6"/>
        <v>2019.35</v>
      </c>
      <c r="P137" s="24">
        <f t="shared" si="8"/>
        <v>0.27309438448108214</v>
      </c>
      <c r="Q137" s="24"/>
      <c r="R137" s="23">
        <v>1662.27</v>
      </c>
      <c r="S137" s="25">
        <f t="shared" si="9"/>
        <v>0.22480332903724881</v>
      </c>
      <c r="T137" s="36"/>
      <c r="U137" s="26">
        <f t="shared" si="7"/>
        <v>0.49789771351833095</v>
      </c>
      <c r="V137" s="36"/>
    </row>
    <row r="138" spans="1:22" x14ac:dyDescent="0.25">
      <c r="A138" s="20">
        <v>137</v>
      </c>
      <c r="B138" s="21" t="s">
        <v>86</v>
      </c>
      <c r="C138" s="21" t="s">
        <v>87</v>
      </c>
      <c r="D138" s="6" t="s">
        <v>88</v>
      </c>
      <c r="E138" s="6">
        <v>3804015</v>
      </c>
      <c r="F138" s="6" t="s">
        <v>19</v>
      </c>
      <c r="G138" s="6" t="s">
        <v>20</v>
      </c>
      <c r="H138" s="5" t="s">
        <v>41</v>
      </c>
      <c r="I138" s="23">
        <v>14146.38</v>
      </c>
      <c r="J138" s="23">
        <v>16201.05</v>
      </c>
      <c r="K138" s="23">
        <v>908</v>
      </c>
      <c r="L138" s="23"/>
      <c r="M138" s="23">
        <f>3652.64-16</f>
        <v>3636.64</v>
      </c>
      <c r="N138" s="23">
        <v>292.02999999999997</v>
      </c>
      <c r="O138" s="23">
        <f t="shared" si="6"/>
        <v>3928.67</v>
      </c>
      <c r="P138" s="24">
        <f t="shared" si="8"/>
        <v>0.27771557105068578</v>
      </c>
      <c r="Q138" s="24"/>
      <c r="R138" s="23">
        <v>3940.59</v>
      </c>
      <c r="S138" s="25">
        <f t="shared" si="9"/>
        <v>0.27855818944493221</v>
      </c>
      <c r="T138" s="36"/>
      <c r="U138" s="26">
        <f t="shared" si="7"/>
        <v>0.55627376049561805</v>
      </c>
      <c r="V138" s="36"/>
    </row>
    <row r="139" spans="1:22" x14ac:dyDescent="0.25">
      <c r="A139" s="20">
        <v>138</v>
      </c>
      <c r="B139" s="21" t="s">
        <v>86</v>
      </c>
      <c r="C139" s="21" t="s">
        <v>87</v>
      </c>
      <c r="D139" s="6" t="s">
        <v>88</v>
      </c>
      <c r="E139" s="22">
        <v>3804016</v>
      </c>
      <c r="F139" s="22" t="s">
        <v>21</v>
      </c>
      <c r="G139" s="22" t="s">
        <v>22</v>
      </c>
      <c r="H139" s="14" t="s">
        <v>40</v>
      </c>
      <c r="I139" s="23">
        <v>11501.23</v>
      </c>
      <c r="J139" s="23">
        <v>14376.6</v>
      </c>
      <c r="K139" s="23">
        <v>729</v>
      </c>
      <c r="L139" s="23"/>
      <c r="M139" s="23">
        <f>4217.23-15</f>
        <v>4202.2299999999996</v>
      </c>
      <c r="N139" s="23">
        <v>0</v>
      </c>
      <c r="O139" s="23">
        <f t="shared" si="6"/>
        <v>4202.2299999999996</v>
      </c>
      <c r="P139" s="24">
        <f t="shared" si="8"/>
        <v>0.36537222540545661</v>
      </c>
      <c r="Q139" s="24"/>
      <c r="R139" s="23">
        <v>2837.28</v>
      </c>
      <c r="S139" s="25">
        <f t="shared" si="9"/>
        <v>0.24669361450905689</v>
      </c>
      <c r="T139" s="36"/>
      <c r="U139" s="26">
        <f t="shared" si="7"/>
        <v>0.61206583991451347</v>
      </c>
      <c r="V139" s="36"/>
    </row>
    <row r="140" spans="1:22" x14ac:dyDescent="0.25">
      <c r="A140" s="20">
        <v>139</v>
      </c>
      <c r="B140" s="21" t="s">
        <v>86</v>
      </c>
      <c r="C140" s="21" t="s">
        <v>87</v>
      </c>
      <c r="D140" s="6" t="s">
        <v>88</v>
      </c>
      <c r="E140" s="6">
        <v>3804017</v>
      </c>
      <c r="F140" s="6" t="s">
        <v>23</v>
      </c>
      <c r="G140" s="6" t="s">
        <v>22</v>
      </c>
      <c r="H140" s="5" t="s">
        <v>40</v>
      </c>
      <c r="I140" s="23">
        <v>19885.84</v>
      </c>
      <c r="J140" s="23">
        <v>20569.919999999998</v>
      </c>
      <c r="K140" s="23">
        <v>1254</v>
      </c>
      <c r="L140" s="23"/>
      <c r="M140" s="23">
        <f>5365.38-9</f>
        <v>5356.38</v>
      </c>
      <c r="N140" s="23">
        <v>705.11</v>
      </c>
      <c r="O140" s="23">
        <f t="shared" si="6"/>
        <v>6061.49</v>
      </c>
      <c r="P140" s="24">
        <f t="shared" si="8"/>
        <v>0.30481438048380155</v>
      </c>
      <c r="Q140" s="24"/>
      <c r="R140" s="23">
        <v>4011.3</v>
      </c>
      <c r="S140" s="25">
        <f t="shared" si="9"/>
        <v>0.20171639719519016</v>
      </c>
      <c r="T140" s="36"/>
      <c r="U140" s="26">
        <f t="shared" si="7"/>
        <v>0.50653077767899168</v>
      </c>
      <c r="V140" s="36"/>
    </row>
    <row r="141" spans="1:22" x14ac:dyDescent="0.25">
      <c r="A141" s="20">
        <v>140</v>
      </c>
      <c r="B141" s="21" t="s">
        <v>86</v>
      </c>
      <c r="C141" s="21" t="s">
        <v>87</v>
      </c>
      <c r="D141" s="6" t="s">
        <v>88</v>
      </c>
      <c r="E141" s="22">
        <v>3804018</v>
      </c>
      <c r="F141" s="22" t="s">
        <v>24</v>
      </c>
      <c r="G141" s="22" t="s">
        <v>20</v>
      </c>
      <c r="H141" s="14" t="s">
        <v>41</v>
      </c>
      <c r="I141" s="47">
        <v>17721.939999999999</v>
      </c>
      <c r="J141" s="23">
        <v>18061.52</v>
      </c>
      <c r="K141" s="23">
        <v>1119</v>
      </c>
      <c r="L141" s="23"/>
      <c r="M141" s="23">
        <f>6160.34+286.27-17.59-8</f>
        <v>6421.02</v>
      </c>
      <c r="N141" s="23">
        <v>595.37</v>
      </c>
      <c r="O141" s="23">
        <f t="shared" si="6"/>
        <v>7016.39</v>
      </c>
      <c r="P141" s="24">
        <f t="shared" si="8"/>
        <v>0.39591545846560822</v>
      </c>
      <c r="Q141" s="24"/>
      <c r="R141" s="23">
        <v>4024.27</v>
      </c>
      <c r="S141" s="25">
        <f t="shared" si="9"/>
        <v>0.22707841240857379</v>
      </c>
      <c r="T141" s="36"/>
      <c r="U141" s="26">
        <f t="shared" si="7"/>
        <v>0.62299387087418201</v>
      </c>
      <c r="V141" s="36"/>
    </row>
    <row r="142" spans="1:22" x14ac:dyDescent="0.25">
      <c r="A142" s="20">
        <v>141</v>
      </c>
      <c r="B142" s="21" t="s">
        <v>86</v>
      </c>
      <c r="C142" s="21" t="s">
        <v>87</v>
      </c>
      <c r="D142" s="6" t="s">
        <v>88</v>
      </c>
      <c r="E142" s="22">
        <v>3804019</v>
      </c>
      <c r="F142" s="6" t="s">
        <v>25</v>
      </c>
      <c r="G142" s="6" t="s">
        <v>20</v>
      </c>
      <c r="H142" s="5" t="s">
        <v>41</v>
      </c>
      <c r="I142" s="23">
        <v>11474.66</v>
      </c>
      <c r="J142" s="23">
        <v>14174.37</v>
      </c>
      <c r="K142" s="23">
        <v>760</v>
      </c>
      <c r="L142" s="23"/>
      <c r="M142" s="23">
        <f>3253.66-12.35-4</f>
        <v>3237.31</v>
      </c>
      <c r="N142" s="23">
        <v>271.06</v>
      </c>
      <c r="O142" s="23">
        <f t="shared" si="6"/>
        <v>3508.37</v>
      </c>
      <c r="P142" s="24">
        <f t="shared" si="8"/>
        <v>0.30574936425131549</v>
      </c>
      <c r="Q142" s="24"/>
      <c r="R142" s="23">
        <v>2967.65</v>
      </c>
      <c r="S142" s="25">
        <f t="shared" si="9"/>
        <v>0.25862639938786858</v>
      </c>
      <c r="T142" s="36"/>
      <c r="U142" s="26">
        <f t="shared" si="7"/>
        <v>0.56437576363918407</v>
      </c>
      <c r="V142" s="36"/>
    </row>
    <row r="143" spans="1:22" x14ac:dyDescent="0.25">
      <c r="A143" s="20">
        <v>142</v>
      </c>
      <c r="B143" s="21" t="s">
        <v>86</v>
      </c>
      <c r="C143" s="21" t="s">
        <v>87</v>
      </c>
      <c r="D143" s="6" t="s">
        <v>88</v>
      </c>
      <c r="E143" s="22">
        <v>3804020</v>
      </c>
      <c r="F143" s="22" t="s">
        <v>26</v>
      </c>
      <c r="G143" s="22" t="s">
        <v>22</v>
      </c>
      <c r="H143" s="14" t="s">
        <v>40</v>
      </c>
      <c r="I143" s="23">
        <v>11625.14</v>
      </c>
      <c r="J143" s="23">
        <v>12908.7</v>
      </c>
      <c r="K143" s="23">
        <v>698</v>
      </c>
      <c r="L143" s="23"/>
      <c r="M143" s="23">
        <f>2608.86-24.7-4</f>
        <v>2580.1600000000003</v>
      </c>
      <c r="N143" s="23">
        <v>262.56</v>
      </c>
      <c r="O143" s="23">
        <f t="shared" si="6"/>
        <v>2842.7200000000003</v>
      </c>
      <c r="P143" s="24">
        <f t="shared" si="8"/>
        <v>0.24453210886062451</v>
      </c>
      <c r="Q143" s="24"/>
      <c r="R143" s="23">
        <v>2413.37</v>
      </c>
      <c r="S143" s="25">
        <f t="shared" si="9"/>
        <v>0.20759922031046507</v>
      </c>
      <c r="T143" s="36"/>
      <c r="U143" s="26">
        <f t="shared" si="7"/>
        <v>0.45213132917108956</v>
      </c>
      <c r="V143" s="36"/>
    </row>
    <row r="144" spans="1:22" x14ac:dyDescent="0.25">
      <c r="A144" s="20">
        <v>143</v>
      </c>
      <c r="B144" s="21" t="s">
        <v>86</v>
      </c>
      <c r="C144" s="21" t="s">
        <v>87</v>
      </c>
      <c r="D144" s="6" t="s">
        <v>88</v>
      </c>
      <c r="E144" s="22">
        <v>3804021</v>
      </c>
      <c r="F144" s="6" t="s">
        <v>27</v>
      </c>
      <c r="G144" s="6" t="s">
        <v>22</v>
      </c>
      <c r="H144" s="5" t="s">
        <v>40</v>
      </c>
      <c r="I144" s="23">
        <v>20961.580000000002</v>
      </c>
      <c r="J144" s="23">
        <v>25167.07</v>
      </c>
      <c r="K144" s="23">
        <v>1286</v>
      </c>
      <c r="L144" s="23"/>
      <c r="M144" s="23">
        <f>5866.87-16</f>
        <v>5850.87</v>
      </c>
      <c r="N144" s="23">
        <v>0</v>
      </c>
      <c r="O144" s="23">
        <f t="shared" si="6"/>
        <v>5850.87</v>
      </c>
      <c r="P144" s="24">
        <f t="shared" si="8"/>
        <v>0.27912352026898735</v>
      </c>
      <c r="Q144" s="24"/>
      <c r="R144" s="23">
        <v>4522.95</v>
      </c>
      <c r="S144" s="25">
        <f t="shared" si="9"/>
        <v>0.21577333388036588</v>
      </c>
      <c r="T144" s="36"/>
      <c r="U144" s="26">
        <f t="shared" si="7"/>
        <v>0.49489685414935325</v>
      </c>
      <c r="V144" s="36"/>
    </row>
    <row r="145" spans="1:22" x14ac:dyDescent="0.25">
      <c r="A145" s="20">
        <v>144</v>
      </c>
      <c r="B145" s="21" t="s">
        <v>86</v>
      </c>
      <c r="C145" s="21" t="s">
        <v>87</v>
      </c>
      <c r="D145" s="6" t="s">
        <v>88</v>
      </c>
      <c r="E145" s="22">
        <v>3804022</v>
      </c>
      <c r="F145" s="22" t="s">
        <v>28</v>
      </c>
      <c r="G145" s="22" t="s">
        <v>22</v>
      </c>
      <c r="H145" s="14" t="s">
        <v>40</v>
      </c>
      <c r="I145" s="23">
        <v>12460.49</v>
      </c>
      <c r="J145" s="23">
        <v>14605.18</v>
      </c>
      <c r="K145" s="23">
        <v>765</v>
      </c>
      <c r="L145" s="23"/>
      <c r="M145" s="23">
        <f>4844.29-2</f>
        <v>4842.29</v>
      </c>
      <c r="N145" s="23">
        <v>0</v>
      </c>
      <c r="O145" s="23">
        <f t="shared" si="6"/>
        <v>4842.29</v>
      </c>
      <c r="P145" s="24">
        <f t="shared" si="8"/>
        <v>0.38861152330285564</v>
      </c>
      <c r="Q145" s="24"/>
      <c r="R145" s="23">
        <v>2824.22</v>
      </c>
      <c r="S145" s="25">
        <f t="shared" si="9"/>
        <v>0.22665400798844987</v>
      </c>
      <c r="T145" s="36"/>
      <c r="U145" s="26">
        <f t="shared" si="7"/>
        <v>0.61526553129130557</v>
      </c>
      <c r="V145" s="36"/>
    </row>
    <row r="146" spans="1:22" x14ac:dyDescent="0.25">
      <c r="A146" s="20">
        <v>145</v>
      </c>
      <c r="B146" s="21" t="s">
        <v>86</v>
      </c>
      <c r="C146" s="21" t="s">
        <v>87</v>
      </c>
      <c r="D146" s="6" t="s">
        <v>88</v>
      </c>
      <c r="E146" s="22">
        <v>3804023</v>
      </c>
      <c r="F146" s="6" t="s">
        <v>29</v>
      </c>
      <c r="G146" s="6" t="s">
        <v>22</v>
      </c>
      <c r="H146" s="5" t="s">
        <v>40</v>
      </c>
      <c r="I146" s="23">
        <v>13327.12</v>
      </c>
      <c r="J146" s="23">
        <v>16815.96</v>
      </c>
      <c r="K146" s="23">
        <v>854</v>
      </c>
      <c r="L146" s="23"/>
      <c r="M146" s="23">
        <f>4925.71-10</f>
        <v>4915.71</v>
      </c>
      <c r="N146" s="23">
        <v>0</v>
      </c>
      <c r="O146" s="23">
        <f t="shared" si="6"/>
        <v>4915.71</v>
      </c>
      <c r="P146" s="24">
        <f t="shared" si="8"/>
        <v>0.36885013416251972</v>
      </c>
      <c r="Q146" s="24"/>
      <c r="R146" s="23">
        <v>3471.97</v>
      </c>
      <c r="S146" s="25">
        <f t="shared" si="9"/>
        <v>0.26051915192479691</v>
      </c>
      <c r="T146" s="36"/>
      <c r="U146" s="26">
        <f t="shared" si="7"/>
        <v>0.62936928608731657</v>
      </c>
      <c r="V146" s="36"/>
    </row>
    <row r="147" spans="1:22" x14ac:dyDescent="0.25">
      <c r="A147" s="20">
        <v>146</v>
      </c>
      <c r="B147" s="21" t="s">
        <v>86</v>
      </c>
      <c r="C147" s="21" t="s">
        <v>87</v>
      </c>
      <c r="D147" s="6" t="s">
        <v>88</v>
      </c>
      <c r="E147" s="22">
        <v>3804024</v>
      </c>
      <c r="F147" s="22" t="s">
        <v>30</v>
      </c>
      <c r="G147" s="22" t="s">
        <v>20</v>
      </c>
      <c r="H147" s="14" t="s">
        <v>41</v>
      </c>
      <c r="I147" s="23">
        <v>11336.12</v>
      </c>
      <c r="J147" s="23">
        <v>12141.19</v>
      </c>
      <c r="K147" s="23">
        <v>703</v>
      </c>
      <c r="L147" s="23"/>
      <c r="M147" s="23">
        <f>3425.21-16</f>
        <v>3409.21</v>
      </c>
      <c r="N147" s="23">
        <f>306.3+351.3</f>
        <v>657.6</v>
      </c>
      <c r="O147" s="23">
        <f t="shared" si="6"/>
        <v>4066.81</v>
      </c>
      <c r="P147" s="24">
        <f t="shared" si="8"/>
        <v>0.35874796667642894</v>
      </c>
      <c r="Q147" s="24"/>
      <c r="R147" s="23">
        <f>3390.24+69.23</f>
        <v>3459.47</v>
      </c>
      <c r="S147" s="25">
        <f t="shared" si="9"/>
        <v>0.30517231645395421</v>
      </c>
      <c r="T147" s="36"/>
      <c r="U147" s="26">
        <f t="shared" si="7"/>
        <v>0.6639202831303832</v>
      </c>
      <c r="V147" s="36"/>
    </row>
    <row r="148" spans="1:22" x14ac:dyDescent="0.25">
      <c r="A148" s="20">
        <v>147</v>
      </c>
      <c r="B148" s="21" t="s">
        <v>86</v>
      </c>
      <c r="C148" s="21" t="s">
        <v>87</v>
      </c>
      <c r="D148" s="6" t="s">
        <v>88</v>
      </c>
      <c r="E148" s="22">
        <v>3804025</v>
      </c>
      <c r="F148" s="6" t="s">
        <v>31</v>
      </c>
      <c r="G148" s="6" t="s">
        <v>20</v>
      </c>
      <c r="H148" s="5" t="s">
        <v>41</v>
      </c>
      <c r="I148" s="23">
        <v>25065.14</v>
      </c>
      <c r="J148" s="23">
        <v>27033.19</v>
      </c>
      <c r="K148" s="23">
        <v>1617</v>
      </c>
      <c r="L148" s="23"/>
      <c r="M148" s="23">
        <f>6594.48-28</f>
        <v>6566.48</v>
      </c>
      <c r="N148" s="23">
        <v>622.70000000000005</v>
      </c>
      <c r="O148" s="23">
        <f t="shared" si="6"/>
        <v>7189.1799999999994</v>
      </c>
      <c r="P148" s="24">
        <f t="shared" si="8"/>
        <v>0.28681986216713728</v>
      </c>
      <c r="Q148" s="24"/>
      <c r="R148" s="23">
        <v>5352.25</v>
      </c>
      <c r="S148" s="25">
        <f t="shared" si="9"/>
        <v>0.21353361680804497</v>
      </c>
      <c r="T148" s="36"/>
      <c r="U148" s="26">
        <f t="shared" si="7"/>
        <v>0.50035347897518223</v>
      </c>
      <c r="V148" s="36"/>
    </row>
    <row r="149" spans="1:22" x14ac:dyDescent="0.25">
      <c r="A149" s="20">
        <v>148</v>
      </c>
      <c r="B149" s="21" t="s">
        <v>86</v>
      </c>
      <c r="C149" s="21" t="s">
        <v>87</v>
      </c>
      <c r="D149" s="6" t="s">
        <v>88</v>
      </c>
      <c r="E149" s="22">
        <v>3804026</v>
      </c>
      <c r="F149" s="22" t="s">
        <v>32</v>
      </c>
      <c r="G149" s="22" t="s">
        <v>79</v>
      </c>
      <c r="H149" s="15" t="s">
        <v>41</v>
      </c>
      <c r="I149" s="23">
        <v>12161.68</v>
      </c>
      <c r="J149" s="23">
        <v>11467.16</v>
      </c>
      <c r="K149" s="23">
        <v>752</v>
      </c>
      <c r="L149" s="23"/>
      <c r="M149" s="23">
        <f>3416.62-12.35-19</f>
        <v>3385.27</v>
      </c>
      <c r="N149" s="23">
        <v>306.47000000000003</v>
      </c>
      <c r="O149" s="23">
        <f t="shared" si="6"/>
        <v>3691.74</v>
      </c>
      <c r="P149" s="24">
        <f t="shared" si="8"/>
        <v>0.30355510094000171</v>
      </c>
      <c r="Q149" s="24"/>
      <c r="R149" s="23">
        <v>3554.18</v>
      </c>
      <c r="S149" s="25">
        <f t="shared" si="9"/>
        <v>0.29224416363528721</v>
      </c>
      <c r="T149" s="36"/>
      <c r="U149" s="26">
        <f t="shared" si="7"/>
        <v>0.59579926457528898</v>
      </c>
      <c r="V149" s="36"/>
    </row>
    <row r="150" spans="1:22" x14ac:dyDescent="0.25">
      <c r="A150" s="20">
        <v>149</v>
      </c>
      <c r="B150" s="21" t="s">
        <v>86</v>
      </c>
      <c r="C150" s="21" t="s">
        <v>87</v>
      </c>
      <c r="D150" s="6" t="s">
        <v>88</v>
      </c>
      <c r="E150" s="22">
        <v>3804027</v>
      </c>
      <c r="F150" s="6" t="s">
        <v>33</v>
      </c>
      <c r="G150" s="5" t="s">
        <v>43</v>
      </c>
      <c r="H150" s="5" t="s">
        <v>41</v>
      </c>
      <c r="I150" s="23">
        <v>16989.43</v>
      </c>
      <c r="J150" s="23">
        <v>12101.75</v>
      </c>
      <c r="K150" s="23">
        <v>1147</v>
      </c>
      <c r="L150" s="23"/>
      <c r="M150" s="23">
        <f>5224.88+245.19-12.35-30+960.76</f>
        <v>6388.48</v>
      </c>
      <c r="N150" s="23">
        <f>351.14+258.46</f>
        <v>609.59999999999991</v>
      </c>
      <c r="O150" s="23">
        <f t="shared" si="6"/>
        <v>6998.08</v>
      </c>
      <c r="P150" s="24">
        <f t="shared" si="8"/>
        <v>0.41190787448431171</v>
      </c>
      <c r="Q150" s="24"/>
      <c r="R150" s="23">
        <f>1600+2109.35+277</f>
        <v>3986.35</v>
      </c>
      <c r="S150" s="25">
        <f t="shared" si="9"/>
        <v>0.23463706551661825</v>
      </c>
      <c r="T150" s="36"/>
      <c r="U150" s="26">
        <f t="shared" si="7"/>
        <v>0.64654494000092999</v>
      </c>
      <c r="V150" s="36"/>
    </row>
    <row r="151" spans="1:22" x14ac:dyDescent="0.25">
      <c r="A151" s="20">
        <v>150</v>
      </c>
      <c r="B151" s="21" t="s">
        <v>86</v>
      </c>
      <c r="C151" s="21" t="s">
        <v>87</v>
      </c>
      <c r="D151" s="6" t="s">
        <v>88</v>
      </c>
      <c r="E151" s="22">
        <v>3804029</v>
      </c>
      <c r="F151" s="22" t="s">
        <v>34</v>
      </c>
      <c r="G151" s="22" t="s">
        <v>79</v>
      </c>
      <c r="H151" s="14" t="s">
        <v>41</v>
      </c>
      <c r="I151" s="23">
        <v>11244.31</v>
      </c>
      <c r="J151" s="23">
        <v>10006.530000000001</v>
      </c>
      <c r="K151" s="23">
        <v>714</v>
      </c>
      <c r="L151" s="23"/>
      <c r="M151" s="23">
        <f>3407.27-17</f>
        <v>3390.27</v>
      </c>
      <c r="N151" s="23">
        <v>0</v>
      </c>
      <c r="O151" s="23">
        <f t="shared" si="6"/>
        <v>3390.27</v>
      </c>
      <c r="P151" s="24">
        <f t="shared" si="8"/>
        <v>0.30150983030528333</v>
      </c>
      <c r="Q151" s="24"/>
      <c r="R151" s="23">
        <f>210.81+2370</f>
        <v>2580.81</v>
      </c>
      <c r="S151" s="25">
        <f t="shared" si="9"/>
        <v>0.22952142016717789</v>
      </c>
      <c r="T151" s="36"/>
      <c r="U151" s="26">
        <f t="shared" si="7"/>
        <v>0.53103125047246125</v>
      </c>
      <c r="V151" s="36"/>
    </row>
    <row r="152" spans="1:22" x14ac:dyDescent="0.25">
      <c r="A152" s="20">
        <v>151</v>
      </c>
      <c r="B152" s="21" t="s">
        <v>86</v>
      </c>
      <c r="C152" s="21" t="s">
        <v>87</v>
      </c>
      <c r="D152" s="6" t="s">
        <v>88</v>
      </c>
      <c r="E152" s="22">
        <v>3804030</v>
      </c>
      <c r="F152" s="6" t="s">
        <v>35</v>
      </c>
      <c r="G152" s="6" t="s">
        <v>5</v>
      </c>
      <c r="H152" s="5" t="s">
        <v>40</v>
      </c>
      <c r="I152" s="23">
        <v>9138.48</v>
      </c>
      <c r="J152" s="23">
        <v>8973.92</v>
      </c>
      <c r="K152" s="23">
        <v>541</v>
      </c>
      <c r="L152" s="23"/>
      <c r="M152" s="23">
        <f>2704.34-18</f>
        <v>2686.34</v>
      </c>
      <c r="N152" s="23">
        <v>175.85</v>
      </c>
      <c r="O152" s="23">
        <f t="shared" si="6"/>
        <v>2862.19</v>
      </c>
      <c r="P152" s="24">
        <f t="shared" si="8"/>
        <v>0.31320197669634342</v>
      </c>
      <c r="Q152" s="24"/>
      <c r="R152" s="23">
        <v>2984</v>
      </c>
      <c r="S152" s="25">
        <f t="shared" si="9"/>
        <v>0.32653132687274034</v>
      </c>
      <c r="T152" s="36"/>
      <c r="U152" s="26">
        <f t="shared" si="7"/>
        <v>0.63973330356908376</v>
      </c>
      <c r="V152" s="36"/>
    </row>
    <row r="153" spans="1:22" x14ac:dyDescent="0.25">
      <c r="A153" s="20">
        <v>152</v>
      </c>
      <c r="B153" s="21" t="s">
        <v>86</v>
      </c>
      <c r="C153" s="21" t="s">
        <v>87</v>
      </c>
      <c r="D153" s="6" t="s">
        <v>88</v>
      </c>
      <c r="E153" s="22">
        <v>3804031</v>
      </c>
      <c r="F153" s="22" t="s">
        <v>36</v>
      </c>
      <c r="G153" s="22" t="s">
        <v>5</v>
      </c>
      <c r="H153" s="14" t="s">
        <v>40</v>
      </c>
      <c r="I153" s="23">
        <v>10035.69</v>
      </c>
      <c r="J153" s="23">
        <v>8848.34</v>
      </c>
      <c r="K153" s="23">
        <v>631</v>
      </c>
      <c r="L153" s="23"/>
      <c r="M153" s="23">
        <f>3212.37-14</f>
        <v>3198.37</v>
      </c>
      <c r="N153" s="23">
        <v>235.66</v>
      </c>
      <c r="O153" s="23">
        <f t="shared" si="6"/>
        <v>3434.0299999999997</v>
      </c>
      <c r="P153" s="24">
        <f t="shared" si="8"/>
        <v>0.34218175332239231</v>
      </c>
      <c r="Q153" s="24"/>
      <c r="R153" s="37">
        <f>960+2328.36</f>
        <v>3288.36</v>
      </c>
      <c r="S153" s="25">
        <f t="shared" si="9"/>
        <v>0.32766655805430417</v>
      </c>
      <c r="T153" s="36"/>
      <c r="U153" s="26">
        <f t="shared" si="7"/>
        <v>0.66984831137669643</v>
      </c>
      <c r="V153" s="36"/>
    </row>
    <row r="154" spans="1:22" x14ac:dyDescent="0.25">
      <c r="A154" s="20">
        <v>153</v>
      </c>
      <c r="B154" s="21" t="s">
        <v>86</v>
      </c>
      <c r="C154" s="21" t="s">
        <v>87</v>
      </c>
      <c r="D154" s="6" t="s">
        <v>88</v>
      </c>
      <c r="E154" s="22">
        <v>3804032</v>
      </c>
      <c r="F154" s="6" t="s">
        <v>37</v>
      </c>
      <c r="G154" s="6" t="s">
        <v>5</v>
      </c>
      <c r="H154" s="5" t="s">
        <v>40</v>
      </c>
      <c r="I154" s="37">
        <v>8759.23</v>
      </c>
      <c r="J154" s="23">
        <v>5180.21</v>
      </c>
      <c r="K154" s="23">
        <v>525</v>
      </c>
      <c r="L154" s="23"/>
      <c r="M154" s="23">
        <f>3471.25-17</f>
        <v>3454.25</v>
      </c>
      <c r="N154" s="23">
        <v>341.63</v>
      </c>
      <c r="O154" s="23">
        <f t="shared" si="6"/>
        <v>3795.88</v>
      </c>
      <c r="P154" s="24">
        <f t="shared" si="8"/>
        <v>0.43335772664948863</v>
      </c>
      <c r="Q154" s="24"/>
      <c r="R154" s="23">
        <f>200+1350+850</f>
        <v>2400</v>
      </c>
      <c r="S154" s="25">
        <f t="shared" si="9"/>
        <v>0.27399668692339396</v>
      </c>
      <c r="T154" s="36"/>
      <c r="U154" s="26">
        <f t="shared" si="7"/>
        <v>0.70735441357288265</v>
      </c>
      <c r="V154" s="36"/>
    </row>
    <row r="155" spans="1:22" x14ac:dyDescent="0.25">
      <c r="A155" s="20">
        <v>154</v>
      </c>
      <c r="B155" s="21" t="s">
        <v>86</v>
      </c>
      <c r="C155" s="21" t="s">
        <v>87</v>
      </c>
      <c r="D155" s="6" t="s">
        <v>88</v>
      </c>
      <c r="E155" s="22">
        <v>3804033</v>
      </c>
      <c r="F155" s="22" t="s">
        <v>38</v>
      </c>
      <c r="G155" s="22" t="s">
        <v>5</v>
      </c>
      <c r="H155" s="14" t="s">
        <v>40</v>
      </c>
      <c r="I155" s="23">
        <v>8248.2999999999993</v>
      </c>
      <c r="J155" s="23">
        <v>6639</v>
      </c>
      <c r="K155" s="23">
        <v>597</v>
      </c>
      <c r="L155" s="23"/>
      <c r="M155" s="23">
        <f>2146.8-12.35-10</f>
        <v>2124.4500000000003</v>
      </c>
      <c r="N155" s="23">
        <v>342.19</v>
      </c>
      <c r="O155" s="23">
        <f t="shared" si="6"/>
        <v>2466.6400000000003</v>
      </c>
      <c r="P155" s="24">
        <f t="shared" si="8"/>
        <v>0.29904828873828554</v>
      </c>
      <c r="Q155" s="24"/>
      <c r="R155" s="23">
        <f>165.58+1100+850</f>
        <v>2115.58</v>
      </c>
      <c r="S155" s="25">
        <f t="shared" si="9"/>
        <v>0.25648679121758422</v>
      </c>
      <c r="T155" s="36"/>
      <c r="U155" s="26">
        <f t="shared" si="7"/>
        <v>0.55553507995586981</v>
      </c>
      <c r="V155" s="36"/>
    </row>
    <row r="156" spans="1:22" x14ac:dyDescent="0.25">
      <c r="A156" s="20">
        <v>155</v>
      </c>
      <c r="B156" s="21" t="s">
        <v>86</v>
      </c>
      <c r="C156" s="21" t="s">
        <v>87</v>
      </c>
      <c r="D156" s="6" t="s">
        <v>88</v>
      </c>
      <c r="E156" s="22">
        <v>3804034</v>
      </c>
      <c r="F156" s="6" t="s">
        <v>53</v>
      </c>
      <c r="G156" s="22" t="s">
        <v>79</v>
      </c>
      <c r="H156" s="5" t="s">
        <v>41</v>
      </c>
      <c r="I156" s="23">
        <v>7913.65</v>
      </c>
      <c r="J156" s="23">
        <v>0</v>
      </c>
      <c r="K156" s="23">
        <v>476</v>
      </c>
      <c r="L156" s="23"/>
      <c r="M156" s="23">
        <f>1905.37-4</f>
        <v>1901.37</v>
      </c>
      <c r="N156" s="23">
        <v>174.45</v>
      </c>
      <c r="O156" s="23">
        <f t="shared" si="6"/>
        <v>2075.8199999999997</v>
      </c>
      <c r="P156" s="24">
        <f t="shared" si="8"/>
        <v>0.26230879556209835</v>
      </c>
      <c r="Q156" s="24"/>
      <c r="R156" s="23">
        <f>2400+463.5</f>
        <v>2863.5</v>
      </c>
      <c r="S156" s="25">
        <f t="shared" si="9"/>
        <v>0.36184314444030252</v>
      </c>
      <c r="T156" s="36"/>
      <c r="U156" s="26">
        <f t="shared" si="7"/>
        <v>0.62415194000240093</v>
      </c>
      <c r="V156" s="36"/>
    </row>
    <row r="157" spans="1:22" x14ac:dyDescent="0.25">
      <c r="A157" s="20">
        <v>156</v>
      </c>
      <c r="B157" s="21" t="s">
        <v>89</v>
      </c>
      <c r="C157" s="21" t="s">
        <v>87</v>
      </c>
      <c r="D157" s="6" t="s">
        <v>90</v>
      </c>
      <c r="E157" s="22">
        <v>3804001</v>
      </c>
      <c r="F157" s="22" t="s">
        <v>4</v>
      </c>
      <c r="G157" s="22" t="s">
        <v>5</v>
      </c>
      <c r="H157" s="5" t="s">
        <v>40</v>
      </c>
      <c r="I157" s="23">
        <v>28229.89</v>
      </c>
      <c r="J157" s="23">
        <v>24567.279999999999</v>
      </c>
      <c r="K157" s="23">
        <v>1777</v>
      </c>
      <c r="L157" s="23"/>
      <c r="M157" s="23">
        <v>7637.12</v>
      </c>
      <c r="N157" s="23">
        <v>889.22</v>
      </c>
      <c r="O157" s="23">
        <f t="shared" si="6"/>
        <v>8526.34</v>
      </c>
      <c r="P157" s="24">
        <f t="shared" si="8"/>
        <v>0.30203234939987367</v>
      </c>
      <c r="Q157" s="24"/>
      <c r="R157" s="23">
        <f>5287.34+1140+165.58</f>
        <v>6592.92</v>
      </c>
      <c r="S157" s="25">
        <f t="shared" si="9"/>
        <v>0.23354394933880365</v>
      </c>
      <c r="T157" s="24"/>
      <c r="U157" s="26">
        <f t="shared" si="7"/>
        <v>0.53557629873867729</v>
      </c>
      <c r="V157" s="36"/>
    </row>
    <row r="158" spans="1:22" x14ac:dyDescent="0.25">
      <c r="A158" s="20">
        <v>157</v>
      </c>
      <c r="B158" s="21" t="s">
        <v>89</v>
      </c>
      <c r="C158" s="21" t="s">
        <v>87</v>
      </c>
      <c r="D158" s="6" t="s">
        <v>90</v>
      </c>
      <c r="E158" s="22">
        <v>3804002</v>
      </c>
      <c r="F158" s="22" t="s">
        <v>6</v>
      </c>
      <c r="G158" s="22" t="s">
        <v>7</v>
      </c>
      <c r="H158" s="14" t="s">
        <v>41</v>
      </c>
      <c r="I158" s="23">
        <v>15153.02</v>
      </c>
      <c r="J158" s="23">
        <v>14798.81</v>
      </c>
      <c r="K158" s="23">
        <v>1137</v>
      </c>
      <c r="L158" s="23"/>
      <c r="M158" s="23">
        <f>3712.82+103.24-58.98+348.37</f>
        <v>4105.45</v>
      </c>
      <c r="N158" s="23">
        <v>373.81</v>
      </c>
      <c r="O158" s="23">
        <f t="shared" si="6"/>
        <v>4479.26</v>
      </c>
      <c r="P158" s="24">
        <f t="shared" si="8"/>
        <v>0.29560180082914167</v>
      </c>
      <c r="Q158" s="24"/>
      <c r="R158" s="23">
        <v>3670.83</v>
      </c>
      <c r="S158" s="25">
        <f t="shared" si="9"/>
        <v>0.24225071965852352</v>
      </c>
      <c r="T158" s="24"/>
      <c r="U158" s="26">
        <f t="shared" si="7"/>
        <v>0.53785252048766519</v>
      </c>
      <c r="V158" s="36"/>
    </row>
    <row r="159" spans="1:22" x14ac:dyDescent="0.25">
      <c r="A159" s="20">
        <v>158</v>
      </c>
      <c r="B159" s="21" t="s">
        <v>89</v>
      </c>
      <c r="C159" s="21" t="s">
        <v>87</v>
      </c>
      <c r="D159" s="6" t="s">
        <v>90</v>
      </c>
      <c r="E159" s="22">
        <v>3804003</v>
      </c>
      <c r="F159" s="22" t="s">
        <v>8</v>
      </c>
      <c r="G159" s="22" t="s">
        <v>7</v>
      </c>
      <c r="H159" s="5" t="s">
        <v>41</v>
      </c>
      <c r="I159" s="23">
        <v>12938.93</v>
      </c>
      <c r="J159" s="23">
        <v>8676.7199999999993</v>
      </c>
      <c r="K159" s="23">
        <v>801</v>
      </c>
      <c r="L159" s="23"/>
      <c r="M159" s="23">
        <f>3331.09-12.38</f>
        <v>3318.71</v>
      </c>
      <c r="N159" s="23">
        <v>514.82000000000005</v>
      </c>
      <c r="O159" s="23">
        <f t="shared" ref="O159:O190" si="10">+M159+N159</f>
        <v>3833.53</v>
      </c>
      <c r="P159" s="24">
        <f t="shared" si="8"/>
        <v>0.29627874947928462</v>
      </c>
      <c r="Q159" s="24"/>
      <c r="R159" s="23">
        <f>3151.19+50</f>
        <v>3201.19</v>
      </c>
      <c r="S159" s="25">
        <f t="shared" si="9"/>
        <v>0.24740762953350856</v>
      </c>
      <c r="T159" s="24"/>
      <c r="U159" s="26">
        <f t="shared" ref="U159:U190" si="11">+S159+P159</f>
        <v>0.54368637901279315</v>
      </c>
      <c r="V159" s="36"/>
    </row>
    <row r="160" spans="1:22" x14ac:dyDescent="0.25">
      <c r="A160" s="20">
        <v>159</v>
      </c>
      <c r="B160" s="21" t="s">
        <v>89</v>
      </c>
      <c r="C160" s="21" t="s">
        <v>87</v>
      </c>
      <c r="D160" s="6" t="s">
        <v>90</v>
      </c>
      <c r="E160" s="22">
        <v>3804004</v>
      </c>
      <c r="F160" s="22" t="s">
        <v>9</v>
      </c>
      <c r="G160" s="22" t="s">
        <v>7</v>
      </c>
      <c r="H160" s="14" t="s">
        <v>41</v>
      </c>
      <c r="I160" s="23">
        <v>19390.04</v>
      </c>
      <c r="J160" s="23">
        <v>12656.91</v>
      </c>
      <c r="K160" s="23">
        <v>1223</v>
      </c>
      <c r="L160" s="23"/>
      <c r="M160" s="23">
        <f>4778.96-12.35-8.59+92.95</f>
        <v>4850.9699999999993</v>
      </c>
      <c r="N160" s="23">
        <v>587.30999999999995</v>
      </c>
      <c r="O160" s="23">
        <f t="shared" si="10"/>
        <v>5438.2799999999988</v>
      </c>
      <c r="P160" s="24">
        <f t="shared" si="8"/>
        <v>0.28046770403774302</v>
      </c>
      <c r="Q160" s="24"/>
      <c r="R160" s="23">
        <v>4005.27</v>
      </c>
      <c r="S160" s="25">
        <f t="shared" si="9"/>
        <v>0.20656326650177101</v>
      </c>
      <c r="T160" s="24"/>
      <c r="U160" s="26">
        <f t="shared" si="11"/>
        <v>0.48703097053951405</v>
      </c>
      <c r="V160" s="36"/>
    </row>
    <row r="161" spans="1:22" x14ac:dyDescent="0.25">
      <c r="A161" s="20">
        <v>160</v>
      </c>
      <c r="B161" s="21" t="s">
        <v>89</v>
      </c>
      <c r="C161" s="21" t="s">
        <v>87</v>
      </c>
      <c r="D161" s="6" t="s">
        <v>90</v>
      </c>
      <c r="E161" s="6">
        <v>3804005</v>
      </c>
      <c r="F161" s="22" t="s">
        <v>10</v>
      </c>
      <c r="G161" s="22" t="s">
        <v>7</v>
      </c>
      <c r="H161" s="5" t="s">
        <v>41</v>
      </c>
      <c r="I161" s="23">
        <v>14340.28</v>
      </c>
      <c r="J161" s="23">
        <v>12662.39</v>
      </c>
      <c r="K161" s="23">
        <v>922</v>
      </c>
      <c r="L161" s="23"/>
      <c r="M161" s="23">
        <f>3056.74-12.35</f>
        <v>3044.39</v>
      </c>
      <c r="N161" s="23">
        <v>626.98</v>
      </c>
      <c r="O161" s="23">
        <f t="shared" si="10"/>
        <v>3671.37</v>
      </c>
      <c r="P161" s="24">
        <f t="shared" si="8"/>
        <v>0.25601801359527149</v>
      </c>
      <c r="Q161" s="24"/>
      <c r="R161" s="23">
        <v>3376.52</v>
      </c>
      <c r="S161" s="25">
        <f t="shared" si="9"/>
        <v>0.23545704825847194</v>
      </c>
      <c r="T161" s="24"/>
      <c r="U161" s="26">
        <f t="shared" si="11"/>
        <v>0.49147506185374346</v>
      </c>
      <c r="V161" s="36"/>
    </row>
    <row r="162" spans="1:22" x14ac:dyDescent="0.25">
      <c r="A162" s="20">
        <v>161</v>
      </c>
      <c r="B162" s="21" t="s">
        <v>89</v>
      </c>
      <c r="C162" s="21" t="s">
        <v>87</v>
      </c>
      <c r="D162" s="6" t="s">
        <v>90</v>
      </c>
      <c r="E162" s="22">
        <v>3804006</v>
      </c>
      <c r="F162" s="22" t="s">
        <v>11</v>
      </c>
      <c r="G162" s="22" t="s">
        <v>7</v>
      </c>
      <c r="H162" s="14" t="s">
        <v>41</v>
      </c>
      <c r="I162" s="23">
        <v>9289.42</v>
      </c>
      <c r="J162" s="23">
        <v>9711.92</v>
      </c>
      <c r="K162" s="23">
        <v>653</v>
      </c>
      <c r="L162" s="23"/>
      <c r="M162" s="23">
        <v>2572.34</v>
      </c>
      <c r="N162" s="23">
        <v>727.67</v>
      </c>
      <c r="O162" s="23">
        <f t="shared" si="10"/>
        <v>3300.01</v>
      </c>
      <c r="P162" s="24">
        <f t="shared" si="8"/>
        <v>0.35524392265609694</v>
      </c>
      <c r="Q162" s="24"/>
      <c r="R162" s="23">
        <v>2547.08</v>
      </c>
      <c r="S162" s="25">
        <f t="shared" si="9"/>
        <v>0.27419149957693806</v>
      </c>
      <c r="T162" s="24"/>
      <c r="U162" s="26">
        <f t="shared" si="11"/>
        <v>0.62943542223303495</v>
      </c>
      <c r="V162" s="36"/>
    </row>
    <row r="163" spans="1:22" x14ac:dyDescent="0.25">
      <c r="A163" s="20">
        <v>162</v>
      </c>
      <c r="B163" s="21" t="s">
        <v>89</v>
      </c>
      <c r="C163" s="21" t="s">
        <v>87</v>
      </c>
      <c r="D163" s="6" t="s">
        <v>90</v>
      </c>
      <c r="E163" s="22">
        <v>3804008</v>
      </c>
      <c r="F163" s="22" t="s">
        <v>12</v>
      </c>
      <c r="G163" s="5" t="s">
        <v>42</v>
      </c>
      <c r="H163" s="5" t="s">
        <v>41</v>
      </c>
      <c r="I163" s="23">
        <v>22111.82</v>
      </c>
      <c r="J163" s="23">
        <v>18575.29</v>
      </c>
      <c r="K163" s="23">
        <v>1375</v>
      </c>
      <c r="L163" s="23"/>
      <c r="M163" s="23">
        <v>6051.12</v>
      </c>
      <c r="N163" s="23">
        <v>600.6</v>
      </c>
      <c r="O163" s="23">
        <f t="shared" si="10"/>
        <v>6651.72</v>
      </c>
      <c r="P163" s="24">
        <f t="shared" si="8"/>
        <v>0.30082191334770275</v>
      </c>
      <c r="Q163" s="24"/>
      <c r="R163" s="23">
        <f>402.12+4934</f>
        <v>5336.12</v>
      </c>
      <c r="S163" s="25">
        <f t="shared" si="9"/>
        <v>0.24132432337093915</v>
      </c>
      <c r="T163" s="24"/>
      <c r="U163" s="26">
        <f t="shared" si="11"/>
        <v>0.54214623671864193</v>
      </c>
      <c r="V163" s="36"/>
    </row>
    <row r="164" spans="1:22" x14ac:dyDescent="0.25">
      <c r="A164" s="20">
        <v>163</v>
      </c>
      <c r="B164" s="21" t="s">
        <v>89</v>
      </c>
      <c r="C164" s="21" t="s">
        <v>87</v>
      </c>
      <c r="D164" s="6" t="s">
        <v>90</v>
      </c>
      <c r="E164" s="22">
        <v>3804009</v>
      </c>
      <c r="F164" s="22" t="s">
        <v>13</v>
      </c>
      <c r="G164" s="14" t="s">
        <v>42</v>
      </c>
      <c r="H164" s="14" t="s">
        <v>41</v>
      </c>
      <c r="I164" s="23">
        <v>15645.64</v>
      </c>
      <c r="J164" s="23">
        <v>14080.51</v>
      </c>
      <c r="K164" s="23">
        <v>928</v>
      </c>
      <c r="L164" s="23"/>
      <c r="M164" s="23">
        <v>4465.2299999999996</v>
      </c>
      <c r="N164" s="23">
        <v>501.07</v>
      </c>
      <c r="O164" s="23">
        <f t="shared" si="10"/>
        <v>4966.2999999999993</v>
      </c>
      <c r="P164" s="24">
        <f t="shared" si="8"/>
        <v>0.31742389573069557</v>
      </c>
      <c r="Q164" s="24"/>
      <c r="R164" s="23">
        <v>3903</v>
      </c>
      <c r="S164" s="25">
        <f t="shared" si="9"/>
        <v>0.24946247005555541</v>
      </c>
      <c r="T164" s="24"/>
      <c r="U164" s="26">
        <f t="shared" si="11"/>
        <v>0.56688636578625096</v>
      </c>
      <c r="V164" s="36"/>
    </row>
    <row r="165" spans="1:22" x14ac:dyDescent="0.25">
      <c r="A165" s="20">
        <v>164</v>
      </c>
      <c r="B165" s="21" t="s">
        <v>89</v>
      </c>
      <c r="C165" s="21" t="s">
        <v>87</v>
      </c>
      <c r="D165" s="6" t="s">
        <v>90</v>
      </c>
      <c r="E165" s="6">
        <v>3804010</v>
      </c>
      <c r="F165" s="22" t="s">
        <v>14</v>
      </c>
      <c r="G165" s="5" t="s">
        <v>42</v>
      </c>
      <c r="H165" s="5" t="s">
        <v>41</v>
      </c>
      <c r="I165" s="23">
        <v>9118.52</v>
      </c>
      <c r="J165" s="23">
        <v>7956.95</v>
      </c>
      <c r="K165" s="23">
        <v>506</v>
      </c>
      <c r="L165" s="23"/>
      <c r="M165" s="23">
        <f>2347.64-12.35</f>
        <v>2335.29</v>
      </c>
      <c r="N165" s="23">
        <v>279.11</v>
      </c>
      <c r="O165" s="23">
        <f t="shared" si="10"/>
        <v>2614.4</v>
      </c>
      <c r="P165" s="24">
        <f t="shared" si="8"/>
        <v>0.28671319468510242</v>
      </c>
      <c r="Q165" s="24"/>
      <c r="R165" s="23">
        <v>2148</v>
      </c>
      <c r="S165" s="25">
        <f t="shared" si="9"/>
        <v>0.23556454336888002</v>
      </c>
      <c r="T165" s="24"/>
      <c r="U165" s="26">
        <f t="shared" si="11"/>
        <v>0.52227773805398248</v>
      </c>
      <c r="V165" s="36"/>
    </row>
    <row r="166" spans="1:22" x14ac:dyDescent="0.25">
      <c r="A166" s="20">
        <v>165</v>
      </c>
      <c r="B166" s="21" t="s">
        <v>89</v>
      </c>
      <c r="C166" s="21" t="s">
        <v>87</v>
      </c>
      <c r="D166" s="6" t="s">
        <v>90</v>
      </c>
      <c r="E166" s="22">
        <v>3804011</v>
      </c>
      <c r="F166" s="22" t="s">
        <v>15</v>
      </c>
      <c r="G166" s="22" t="s">
        <v>16</v>
      </c>
      <c r="H166" s="14" t="s">
        <v>41</v>
      </c>
      <c r="I166" s="23">
        <v>24955.89</v>
      </c>
      <c r="J166" s="23">
        <v>22069.26</v>
      </c>
      <c r="K166" s="23">
        <v>1559</v>
      </c>
      <c r="L166" s="23"/>
      <c r="M166" s="23">
        <v>5674.32</v>
      </c>
      <c r="N166" s="23">
        <v>480.99</v>
      </c>
      <c r="O166" s="23">
        <f t="shared" si="10"/>
        <v>6155.3099999999995</v>
      </c>
      <c r="P166" s="24">
        <f t="shared" si="8"/>
        <v>0.24664758499897216</v>
      </c>
      <c r="Q166" s="24"/>
      <c r="R166" s="23">
        <f>4448.78+1096.15</f>
        <v>5544.93</v>
      </c>
      <c r="S166" s="25">
        <f t="shared" si="9"/>
        <v>0.22218923067860935</v>
      </c>
      <c r="T166" s="24"/>
      <c r="U166" s="26">
        <f t="shared" si="11"/>
        <v>0.46883681567758151</v>
      </c>
      <c r="V166" s="36"/>
    </row>
    <row r="167" spans="1:22" x14ac:dyDescent="0.25">
      <c r="A167" s="20">
        <v>166</v>
      </c>
      <c r="B167" s="21" t="s">
        <v>89</v>
      </c>
      <c r="C167" s="21" t="s">
        <v>87</v>
      </c>
      <c r="D167" s="6" t="s">
        <v>90</v>
      </c>
      <c r="E167" s="22">
        <v>3804013</v>
      </c>
      <c r="F167" s="6" t="s">
        <v>17</v>
      </c>
      <c r="G167" s="6" t="s">
        <v>16</v>
      </c>
      <c r="H167" s="5" t="s">
        <v>41</v>
      </c>
      <c r="I167" s="23">
        <v>8509.19</v>
      </c>
      <c r="J167" s="23">
        <v>7902.97</v>
      </c>
      <c r="K167" s="23">
        <v>538</v>
      </c>
      <c r="L167" s="23"/>
      <c r="M167" s="23">
        <f>2227.77-61.75</f>
        <v>2166.02</v>
      </c>
      <c r="N167" s="23">
        <v>308.25</v>
      </c>
      <c r="O167" s="23">
        <f t="shared" si="10"/>
        <v>2474.27</v>
      </c>
      <c r="P167" s="24">
        <f t="shared" si="8"/>
        <v>0.29077620784116937</v>
      </c>
      <c r="Q167" s="24"/>
      <c r="R167" s="23">
        <v>2285.96</v>
      </c>
      <c r="S167" s="25">
        <f t="shared" si="9"/>
        <v>0.26864601683591505</v>
      </c>
      <c r="T167" s="24"/>
      <c r="U167" s="26">
        <f t="shared" si="11"/>
        <v>0.55942222467708436</v>
      </c>
      <c r="V167" s="36"/>
    </row>
    <row r="168" spans="1:22" x14ac:dyDescent="0.25">
      <c r="A168" s="20">
        <v>167</v>
      </c>
      <c r="B168" s="21" t="s">
        <v>89</v>
      </c>
      <c r="C168" s="21" t="s">
        <v>87</v>
      </c>
      <c r="D168" s="6" t="s">
        <v>90</v>
      </c>
      <c r="E168" s="22">
        <v>3804014</v>
      </c>
      <c r="F168" s="22" t="s">
        <v>18</v>
      </c>
      <c r="G168" s="22" t="s">
        <v>16</v>
      </c>
      <c r="H168" s="14" t="s">
        <v>41</v>
      </c>
      <c r="I168" s="23">
        <v>9352.4500000000007</v>
      </c>
      <c r="J168" s="23">
        <v>9673.14</v>
      </c>
      <c r="K168" s="23">
        <v>549</v>
      </c>
      <c r="L168" s="23"/>
      <c r="M168" s="23">
        <f>2114.32-12.35</f>
        <v>2101.9700000000003</v>
      </c>
      <c r="N168" s="23">
        <v>302.48</v>
      </c>
      <c r="O168" s="23">
        <f t="shared" si="10"/>
        <v>2404.4500000000003</v>
      </c>
      <c r="P168" s="24">
        <f t="shared" si="8"/>
        <v>0.25709306117648317</v>
      </c>
      <c r="Q168" s="24"/>
      <c r="R168" s="23">
        <v>2206.0700000000002</v>
      </c>
      <c r="S168" s="25">
        <f t="shared" si="9"/>
        <v>0.23588150698480076</v>
      </c>
      <c r="T168" s="24"/>
      <c r="U168" s="26">
        <f t="shared" si="11"/>
        <v>0.49297456816128393</v>
      </c>
      <c r="V168" s="36"/>
    </row>
    <row r="169" spans="1:22" x14ac:dyDescent="0.25">
      <c r="A169" s="20">
        <v>168</v>
      </c>
      <c r="B169" s="21" t="s">
        <v>89</v>
      </c>
      <c r="C169" s="21" t="s">
        <v>87</v>
      </c>
      <c r="D169" s="6" t="s">
        <v>90</v>
      </c>
      <c r="E169" s="6">
        <v>3804015</v>
      </c>
      <c r="F169" s="6" t="s">
        <v>19</v>
      </c>
      <c r="G169" s="6" t="s">
        <v>20</v>
      </c>
      <c r="H169" s="5" t="s">
        <v>41</v>
      </c>
      <c r="I169" s="23">
        <v>13360</v>
      </c>
      <c r="J169" s="23">
        <v>16656.71</v>
      </c>
      <c r="K169" s="23">
        <v>884</v>
      </c>
      <c r="L169" s="23"/>
      <c r="M169" s="23">
        <f>4193.95-21.82</f>
        <v>4172.13</v>
      </c>
      <c r="N169" s="23">
        <v>0</v>
      </c>
      <c r="O169" s="23">
        <f t="shared" si="10"/>
        <v>4172.13</v>
      </c>
      <c r="P169" s="24">
        <f t="shared" si="8"/>
        <v>0.31228517964071856</v>
      </c>
      <c r="Q169" s="24"/>
      <c r="R169" s="23">
        <v>3734.1</v>
      </c>
      <c r="S169" s="25">
        <f t="shared" si="9"/>
        <v>0.27949850299401197</v>
      </c>
      <c r="T169" s="24"/>
      <c r="U169" s="26">
        <f t="shared" si="11"/>
        <v>0.59178368263473047</v>
      </c>
      <c r="V169" s="36"/>
    </row>
    <row r="170" spans="1:22" x14ac:dyDescent="0.25">
      <c r="A170" s="20">
        <v>169</v>
      </c>
      <c r="B170" s="21" t="s">
        <v>89</v>
      </c>
      <c r="C170" s="21" t="s">
        <v>87</v>
      </c>
      <c r="D170" s="6" t="s">
        <v>90</v>
      </c>
      <c r="E170" s="22">
        <v>3804016</v>
      </c>
      <c r="F170" s="22" t="s">
        <v>21</v>
      </c>
      <c r="G170" s="22" t="s">
        <v>22</v>
      </c>
      <c r="H170" s="14" t="s">
        <v>40</v>
      </c>
      <c r="I170" s="23">
        <v>12704.48</v>
      </c>
      <c r="J170" s="23">
        <v>14961.04</v>
      </c>
      <c r="K170" s="23">
        <v>773</v>
      </c>
      <c r="L170" s="23"/>
      <c r="M170" s="23">
        <f>4111.4-37.05</f>
        <v>4074.3499999999995</v>
      </c>
      <c r="N170" s="23">
        <v>0</v>
      </c>
      <c r="O170" s="23">
        <f t="shared" si="10"/>
        <v>4074.3499999999995</v>
      </c>
      <c r="P170" s="24">
        <f t="shared" si="8"/>
        <v>0.32070183116506928</v>
      </c>
      <c r="Q170" s="24"/>
      <c r="R170" s="23">
        <v>2989.94</v>
      </c>
      <c r="S170" s="25">
        <f t="shared" si="9"/>
        <v>0.23534532700275809</v>
      </c>
      <c r="T170" s="24"/>
      <c r="U170" s="26">
        <f t="shared" si="11"/>
        <v>0.55604715816782735</v>
      </c>
      <c r="V170" s="36"/>
    </row>
    <row r="171" spans="1:22" x14ac:dyDescent="0.25">
      <c r="A171" s="20">
        <v>170</v>
      </c>
      <c r="B171" s="21" t="s">
        <v>89</v>
      </c>
      <c r="C171" s="21" t="s">
        <v>87</v>
      </c>
      <c r="D171" s="6" t="s">
        <v>90</v>
      </c>
      <c r="E171" s="6">
        <v>3804017</v>
      </c>
      <c r="F171" s="6" t="s">
        <v>23</v>
      </c>
      <c r="G171" s="6" t="s">
        <v>22</v>
      </c>
      <c r="H171" s="5" t="s">
        <v>40</v>
      </c>
      <c r="I171" s="23">
        <v>18945.099999999999</v>
      </c>
      <c r="J171" s="23">
        <v>19881.169999999998</v>
      </c>
      <c r="K171" s="23">
        <v>1171</v>
      </c>
      <c r="L171" s="23"/>
      <c r="M171" s="23">
        <v>5281.5</v>
      </c>
      <c r="N171" s="23">
        <v>290.83999999999997</v>
      </c>
      <c r="O171" s="23">
        <f t="shared" si="10"/>
        <v>5572.34</v>
      </c>
      <c r="P171" s="24">
        <f t="shared" si="8"/>
        <v>0.29413093623153219</v>
      </c>
      <c r="Q171" s="24"/>
      <c r="R171" s="23">
        <v>3912.88</v>
      </c>
      <c r="S171" s="25">
        <f t="shared" si="9"/>
        <v>0.20653783828008299</v>
      </c>
      <c r="T171" s="24"/>
      <c r="U171" s="26">
        <f t="shared" si="11"/>
        <v>0.50066877451161518</v>
      </c>
      <c r="V171" s="36"/>
    </row>
    <row r="172" spans="1:22" x14ac:dyDescent="0.25">
      <c r="A172" s="20">
        <v>171</v>
      </c>
      <c r="B172" s="21" t="s">
        <v>89</v>
      </c>
      <c r="C172" s="21" t="s">
        <v>87</v>
      </c>
      <c r="D172" s="6" t="s">
        <v>90</v>
      </c>
      <c r="E172" s="22">
        <v>3804018</v>
      </c>
      <c r="F172" s="22" t="s">
        <v>24</v>
      </c>
      <c r="G172" s="22" t="s">
        <v>20</v>
      </c>
      <c r="H172" s="14" t="s">
        <v>41</v>
      </c>
      <c r="I172" s="47">
        <v>16649.060000000001</v>
      </c>
      <c r="J172" s="23">
        <v>17235.93</v>
      </c>
      <c r="K172" s="23">
        <v>1028</v>
      </c>
      <c r="L172" s="23"/>
      <c r="M172" s="23">
        <v>6473.91</v>
      </c>
      <c r="N172" s="23">
        <v>502.63</v>
      </c>
      <c r="O172" s="23">
        <f t="shared" si="10"/>
        <v>6976.54</v>
      </c>
      <c r="P172" s="24">
        <f t="shared" si="8"/>
        <v>0.41903506864651813</v>
      </c>
      <c r="Q172" s="24"/>
      <c r="R172" s="23">
        <v>4110.8599999999997</v>
      </c>
      <c r="S172" s="25">
        <f t="shared" si="9"/>
        <v>0.2469124382998199</v>
      </c>
      <c r="T172" s="24"/>
      <c r="U172" s="26">
        <f t="shared" si="11"/>
        <v>0.66594750694633809</v>
      </c>
      <c r="V172" s="36"/>
    </row>
    <row r="173" spans="1:22" x14ac:dyDescent="0.25">
      <c r="A173" s="20">
        <v>172</v>
      </c>
      <c r="B173" s="21" t="s">
        <v>89</v>
      </c>
      <c r="C173" s="21" t="s">
        <v>87</v>
      </c>
      <c r="D173" s="6" t="s">
        <v>90</v>
      </c>
      <c r="E173" s="22">
        <v>3804019</v>
      </c>
      <c r="F173" s="6" t="s">
        <v>25</v>
      </c>
      <c r="G173" s="6" t="s">
        <v>20</v>
      </c>
      <c r="H173" s="5" t="s">
        <v>41</v>
      </c>
      <c r="I173" s="23">
        <v>11596.88</v>
      </c>
      <c r="J173" s="23">
        <v>13102.82</v>
      </c>
      <c r="K173" s="23">
        <v>727</v>
      </c>
      <c r="L173" s="23"/>
      <c r="M173" s="23">
        <v>3346.08</v>
      </c>
      <c r="N173" s="23">
        <v>222.81</v>
      </c>
      <c r="O173" s="23">
        <f t="shared" si="10"/>
        <v>3568.89</v>
      </c>
      <c r="P173" s="24">
        <f t="shared" si="8"/>
        <v>0.30774570401694251</v>
      </c>
      <c r="Q173" s="24"/>
      <c r="R173" s="23">
        <v>3121.45</v>
      </c>
      <c r="S173" s="25">
        <f t="shared" si="9"/>
        <v>0.26916291278343829</v>
      </c>
      <c r="T173" s="24"/>
      <c r="U173" s="26">
        <f t="shared" si="11"/>
        <v>0.57690861680038075</v>
      </c>
      <c r="V173" s="36"/>
    </row>
    <row r="174" spans="1:22" x14ac:dyDescent="0.25">
      <c r="A174" s="20">
        <v>173</v>
      </c>
      <c r="B174" s="21" t="s">
        <v>89</v>
      </c>
      <c r="C174" s="21" t="s">
        <v>87</v>
      </c>
      <c r="D174" s="6" t="s">
        <v>90</v>
      </c>
      <c r="E174" s="22">
        <v>3804020</v>
      </c>
      <c r="F174" s="22" t="s">
        <v>26</v>
      </c>
      <c r="G174" s="22" t="s">
        <v>22</v>
      </c>
      <c r="H174" s="14" t="s">
        <v>40</v>
      </c>
      <c r="I174" s="23">
        <v>11303.92</v>
      </c>
      <c r="J174" s="23">
        <v>11631.19</v>
      </c>
      <c r="K174" s="23">
        <v>675</v>
      </c>
      <c r="L174" s="23"/>
      <c r="M174" s="23">
        <v>3293.6</v>
      </c>
      <c r="N174" s="23">
        <v>339.12</v>
      </c>
      <c r="O174" s="23">
        <f t="shared" si="10"/>
        <v>3632.72</v>
      </c>
      <c r="P174" s="24">
        <f t="shared" si="8"/>
        <v>0.32136816254892109</v>
      </c>
      <c r="Q174" s="24"/>
      <c r="R174" s="23">
        <v>2413.96</v>
      </c>
      <c r="S174" s="25">
        <f t="shared" si="9"/>
        <v>0.21355069745716532</v>
      </c>
      <c r="T174" s="24"/>
      <c r="U174" s="26">
        <f t="shared" si="11"/>
        <v>0.53491886000608635</v>
      </c>
      <c r="V174" s="36"/>
    </row>
    <row r="175" spans="1:22" x14ac:dyDescent="0.25">
      <c r="A175" s="20">
        <v>174</v>
      </c>
      <c r="B175" s="21" t="s">
        <v>89</v>
      </c>
      <c r="C175" s="21" t="s">
        <v>87</v>
      </c>
      <c r="D175" s="6" t="s">
        <v>90</v>
      </c>
      <c r="E175" s="22">
        <v>3804021</v>
      </c>
      <c r="F175" s="6" t="s">
        <v>27</v>
      </c>
      <c r="G175" s="6" t="s">
        <v>22</v>
      </c>
      <c r="H175" s="5" t="s">
        <v>40</v>
      </c>
      <c r="I175" s="23">
        <v>19415.849999999999</v>
      </c>
      <c r="J175" s="23">
        <v>22385.95</v>
      </c>
      <c r="K175" s="23">
        <v>1176</v>
      </c>
      <c r="L175" s="23"/>
      <c r="M175" s="23">
        <v>6562.35</v>
      </c>
      <c r="N175" s="23">
        <v>0</v>
      </c>
      <c r="O175" s="23">
        <f t="shared" si="10"/>
        <v>6562.35</v>
      </c>
      <c r="P175" s="24">
        <f t="shared" si="8"/>
        <v>0.33798932315608127</v>
      </c>
      <c r="Q175" s="24"/>
      <c r="R175" s="23">
        <v>4442.71</v>
      </c>
      <c r="S175" s="25">
        <f t="shared" si="9"/>
        <v>0.22881872284757043</v>
      </c>
      <c r="T175" s="24"/>
      <c r="U175" s="26">
        <f t="shared" si="11"/>
        <v>0.56680804600365176</v>
      </c>
      <c r="V175" s="36"/>
    </row>
    <row r="176" spans="1:22" x14ac:dyDescent="0.25">
      <c r="A176" s="20">
        <v>175</v>
      </c>
      <c r="B176" s="21" t="s">
        <v>89</v>
      </c>
      <c r="C176" s="21" t="s">
        <v>87</v>
      </c>
      <c r="D176" s="6" t="s">
        <v>90</v>
      </c>
      <c r="E176" s="22">
        <v>3804022</v>
      </c>
      <c r="F176" s="22" t="s">
        <v>28</v>
      </c>
      <c r="G176" s="22" t="s">
        <v>22</v>
      </c>
      <c r="H176" s="14" t="s">
        <v>40</v>
      </c>
      <c r="I176" s="23">
        <v>11146.06</v>
      </c>
      <c r="J176" s="23">
        <v>14163.16</v>
      </c>
      <c r="K176" s="23">
        <v>669</v>
      </c>
      <c r="L176" s="23"/>
      <c r="M176" s="23">
        <f>4045.37-12.35</f>
        <v>4033.02</v>
      </c>
      <c r="N176" s="23">
        <v>372.98</v>
      </c>
      <c r="O176" s="23">
        <f t="shared" si="10"/>
        <v>4406</v>
      </c>
      <c r="P176" s="24">
        <f t="shared" si="8"/>
        <v>0.39529663396751857</v>
      </c>
      <c r="Q176" s="24"/>
      <c r="R176" s="23">
        <v>2636.01</v>
      </c>
      <c r="S176" s="25">
        <f t="shared" si="9"/>
        <v>0.23649702226616404</v>
      </c>
      <c r="T176" s="24"/>
      <c r="U176" s="26">
        <f t="shared" si="11"/>
        <v>0.63179365623368255</v>
      </c>
      <c r="V176" s="36"/>
    </row>
    <row r="177" spans="1:27" x14ac:dyDescent="0.25">
      <c r="A177" s="20">
        <v>176</v>
      </c>
      <c r="B177" s="21" t="s">
        <v>89</v>
      </c>
      <c r="C177" s="21" t="s">
        <v>87</v>
      </c>
      <c r="D177" s="6" t="s">
        <v>90</v>
      </c>
      <c r="E177" s="22">
        <v>3804023</v>
      </c>
      <c r="F177" s="6" t="s">
        <v>29</v>
      </c>
      <c r="G177" s="6" t="s">
        <v>22</v>
      </c>
      <c r="H177" s="5" t="s">
        <v>40</v>
      </c>
      <c r="I177" s="23">
        <v>13770.97</v>
      </c>
      <c r="J177" s="23">
        <v>15487.58</v>
      </c>
      <c r="K177" s="23">
        <v>839</v>
      </c>
      <c r="L177" s="23"/>
      <c r="M177" s="23">
        <f>5025.75-37.05</f>
        <v>4988.7</v>
      </c>
      <c r="N177" s="23">
        <v>0</v>
      </c>
      <c r="O177" s="23">
        <f t="shared" si="10"/>
        <v>4988.7</v>
      </c>
      <c r="P177" s="24">
        <f t="shared" si="8"/>
        <v>0.36226206287574514</v>
      </c>
      <c r="Q177" s="24"/>
      <c r="R177" s="23">
        <v>3662.75</v>
      </c>
      <c r="S177" s="25">
        <f t="shared" si="9"/>
        <v>0.26597618032716652</v>
      </c>
      <c r="T177" s="24"/>
      <c r="U177" s="26">
        <f t="shared" si="11"/>
        <v>0.62823824320291166</v>
      </c>
      <c r="V177" s="36"/>
    </row>
    <row r="178" spans="1:27" x14ac:dyDescent="0.25">
      <c r="A178" s="20">
        <v>177</v>
      </c>
      <c r="B178" s="21" t="s">
        <v>89</v>
      </c>
      <c r="C178" s="21" t="s">
        <v>87</v>
      </c>
      <c r="D178" s="6" t="s">
        <v>90</v>
      </c>
      <c r="E178" s="22">
        <v>3804024</v>
      </c>
      <c r="F178" s="22" t="s">
        <v>30</v>
      </c>
      <c r="G178" s="22" t="s">
        <v>20</v>
      </c>
      <c r="H178" s="14" t="s">
        <v>41</v>
      </c>
      <c r="I178" s="23">
        <v>11733.31</v>
      </c>
      <c r="J178" s="23">
        <v>12606.46</v>
      </c>
      <c r="K178" s="23">
        <v>729</v>
      </c>
      <c r="L178" s="23"/>
      <c r="M178" s="23">
        <f>3379.26-24.7</f>
        <v>3354.5600000000004</v>
      </c>
      <c r="N178" s="23">
        <v>200.8</v>
      </c>
      <c r="O178" s="23">
        <f t="shared" si="10"/>
        <v>3555.3600000000006</v>
      </c>
      <c r="P178" s="24">
        <f t="shared" si="8"/>
        <v>0.30301423894877072</v>
      </c>
      <c r="Q178" s="24"/>
      <c r="R178" s="23">
        <f>3507.39+69.23</f>
        <v>3576.62</v>
      </c>
      <c r="S178" s="25">
        <f t="shared" si="9"/>
        <v>0.30482617437023313</v>
      </c>
      <c r="T178" s="24"/>
      <c r="U178" s="26">
        <f t="shared" si="11"/>
        <v>0.60784041331900385</v>
      </c>
      <c r="V178" s="36"/>
    </row>
    <row r="179" spans="1:27" x14ac:dyDescent="0.25">
      <c r="A179" s="20">
        <v>178</v>
      </c>
      <c r="B179" s="21" t="s">
        <v>89</v>
      </c>
      <c r="C179" s="21" t="s">
        <v>87</v>
      </c>
      <c r="D179" s="6" t="s">
        <v>90</v>
      </c>
      <c r="E179" s="22">
        <v>3804025</v>
      </c>
      <c r="F179" s="6" t="s">
        <v>31</v>
      </c>
      <c r="G179" s="6" t="s">
        <v>20</v>
      </c>
      <c r="H179" s="5" t="s">
        <v>41</v>
      </c>
      <c r="I179" s="23">
        <v>24040.93</v>
      </c>
      <c r="J179" s="23">
        <v>23444.68</v>
      </c>
      <c r="K179" s="23">
        <v>1530</v>
      </c>
      <c r="L179" s="23"/>
      <c r="M179" s="23">
        <v>8023.16</v>
      </c>
      <c r="N179" s="23">
        <v>606.98</v>
      </c>
      <c r="O179" s="23">
        <f t="shared" si="10"/>
        <v>8630.14</v>
      </c>
      <c r="P179" s="24">
        <f t="shared" si="8"/>
        <v>0.35897696137379043</v>
      </c>
      <c r="Q179" s="24"/>
      <c r="R179" s="23">
        <v>5813.27</v>
      </c>
      <c r="S179" s="25">
        <f t="shared" si="9"/>
        <v>0.2418072013021127</v>
      </c>
      <c r="T179" s="24"/>
      <c r="U179" s="26">
        <f t="shared" si="11"/>
        <v>0.60078416267590318</v>
      </c>
      <c r="V179" s="36"/>
    </row>
    <row r="180" spans="1:27" x14ac:dyDescent="0.25">
      <c r="A180" s="20">
        <v>179</v>
      </c>
      <c r="B180" s="21" t="s">
        <v>89</v>
      </c>
      <c r="C180" s="21" t="s">
        <v>87</v>
      </c>
      <c r="D180" s="6" t="s">
        <v>90</v>
      </c>
      <c r="E180" s="22">
        <v>3804026</v>
      </c>
      <c r="F180" s="22" t="s">
        <v>32</v>
      </c>
      <c r="G180" s="22" t="s">
        <v>79</v>
      </c>
      <c r="H180" s="15" t="s">
        <v>41</v>
      </c>
      <c r="I180" s="23">
        <v>13888.04</v>
      </c>
      <c r="J180" s="23">
        <v>12938.79</v>
      </c>
      <c r="K180" s="23">
        <v>806</v>
      </c>
      <c r="L180" s="23"/>
      <c r="M180" s="23">
        <v>3653.34</v>
      </c>
      <c r="N180" s="23">
        <v>266.98</v>
      </c>
      <c r="O180" s="23">
        <f t="shared" si="10"/>
        <v>3920.32</v>
      </c>
      <c r="P180" s="24">
        <f t="shared" si="8"/>
        <v>0.28228029297150642</v>
      </c>
      <c r="Q180" s="24"/>
      <c r="R180" s="23">
        <v>3798.53</v>
      </c>
      <c r="S180" s="25">
        <f t="shared" si="9"/>
        <v>0.27351087698480131</v>
      </c>
      <c r="T180" s="24"/>
      <c r="U180" s="26">
        <f t="shared" si="11"/>
        <v>0.55579116995630773</v>
      </c>
      <c r="V180" s="36"/>
    </row>
    <row r="181" spans="1:27" x14ac:dyDescent="0.25">
      <c r="A181" s="20">
        <v>180</v>
      </c>
      <c r="B181" s="21" t="s">
        <v>89</v>
      </c>
      <c r="C181" s="21" t="s">
        <v>87</v>
      </c>
      <c r="D181" s="6" t="s">
        <v>90</v>
      </c>
      <c r="E181" s="22">
        <v>3804027</v>
      </c>
      <c r="F181" s="6" t="s">
        <v>33</v>
      </c>
      <c r="G181" s="5" t="s">
        <v>43</v>
      </c>
      <c r="H181" s="5" t="s">
        <v>41</v>
      </c>
      <c r="I181" s="23">
        <v>18741.61</v>
      </c>
      <c r="J181" s="23">
        <v>13142.74</v>
      </c>
      <c r="K181" s="23">
        <v>1232</v>
      </c>
      <c r="L181" s="23"/>
      <c r="M181" s="23">
        <f>5648.81+34.87-31.21</f>
        <v>5652.47</v>
      </c>
      <c r="N181" s="23">
        <v>354.87</v>
      </c>
      <c r="O181" s="23">
        <f t="shared" si="10"/>
        <v>6007.34</v>
      </c>
      <c r="P181" s="24">
        <f t="shared" si="8"/>
        <v>0.3205348953478383</v>
      </c>
      <c r="Q181" s="24"/>
      <c r="R181" s="23">
        <f>2473.18+277+1600</f>
        <v>4350.18</v>
      </c>
      <c r="S181" s="25">
        <f t="shared" si="9"/>
        <v>0.23211346303759389</v>
      </c>
      <c r="T181" s="24"/>
      <c r="U181" s="26">
        <f t="shared" si="11"/>
        <v>0.55264835838543225</v>
      </c>
      <c r="V181" s="36"/>
    </row>
    <row r="182" spans="1:27" x14ac:dyDescent="0.25">
      <c r="A182" s="20">
        <v>181</v>
      </c>
      <c r="B182" s="21" t="s">
        <v>89</v>
      </c>
      <c r="C182" s="21" t="s">
        <v>87</v>
      </c>
      <c r="D182" s="6" t="s">
        <v>90</v>
      </c>
      <c r="E182" s="22">
        <v>3804029</v>
      </c>
      <c r="F182" s="22" t="s">
        <v>34</v>
      </c>
      <c r="G182" s="22" t="s">
        <v>79</v>
      </c>
      <c r="H182" s="14" t="s">
        <v>41</v>
      </c>
      <c r="I182" s="23">
        <v>11491.17</v>
      </c>
      <c r="J182" s="23">
        <v>9722.57</v>
      </c>
      <c r="K182" s="23">
        <v>731</v>
      </c>
      <c r="L182" s="23"/>
      <c r="M182" s="23">
        <f>3158.49-46.17</f>
        <v>3112.3199999999997</v>
      </c>
      <c r="N182" s="23">
        <v>398.32</v>
      </c>
      <c r="O182" s="23">
        <f t="shared" si="10"/>
        <v>3510.64</v>
      </c>
      <c r="P182" s="24">
        <f t="shared" si="8"/>
        <v>0.3055076201988135</v>
      </c>
      <c r="Q182" s="24"/>
      <c r="R182" s="23">
        <f>210.81+2370</f>
        <v>2580.81</v>
      </c>
      <c r="S182" s="25">
        <f t="shared" si="9"/>
        <v>0.22459070747365151</v>
      </c>
      <c r="T182" s="24"/>
      <c r="U182" s="26">
        <f t="shared" si="11"/>
        <v>0.53009832767246501</v>
      </c>
      <c r="V182" s="36"/>
    </row>
    <row r="183" spans="1:27" x14ac:dyDescent="0.25">
      <c r="A183" s="20">
        <v>182</v>
      </c>
      <c r="B183" s="21" t="s">
        <v>89</v>
      </c>
      <c r="C183" s="21" t="s">
        <v>87</v>
      </c>
      <c r="D183" s="6" t="s">
        <v>90</v>
      </c>
      <c r="E183" s="22">
        <v>3804030</v>
      </c>
      <c r="F183" s="6" t="s">
        <v>35</v>
      </c>
      <c r="G183" s="6" t="s">
        <v>5</v>
      </c>
      <c r="H183" s="5" t="s">
        <v>40</v>
      </c>
      <c r="I183" s="23">
        <v>10815.63</v>
      </c>
      <c r="J183" s="23">
        <v>8528.73</v>
      </c>
      <c r="K183" s="23">
        <v>602</v>
      </c>
      <c r="L183" s="23"/>
      <c r="M183" s="23">
        <f>2776.45-44.47</f>
        <v>2731.98</v>
      </c>
      <c r="N183" s="23">
        <v>165.78</v>
      </c>
      <c r="O183" s="23">
        <f t="shared" si="10"/>
        <v>2897.76</v>
      </c>
      <c r="P183" s="24">
        <f t="shared" si="8"/>
        <v>0.26792336646131576</v>
      </c>
      <c r="Q183" s="24"/>
      <c r="R183" s="23">
        <v>2774.73</v>
      </c>
      <c r="S183" s="25">
        <f t="shared" si="9"/>
        <v>0.25654816224297616</v>
      </c>
      <c r="T183" s="24"/>
      <c r="U183" s="26">
        <f t="shared" si="11"/>
        <v>0.52447152870429192</v>
      </c>
      <c r="V183" s="36"/>
    </row>
    <row r="184" spans="1:27" x14ac:dyDescent="0.25">
      <c r="A184" s="20">
        <v>183</v>
      </c>
      <c r="B184" s="21" t="s">
        <v>89</v>
      </c>
      <c r="C184" s="21" t="s">
        <v>87</v>
      </c>
      <c r="D184" s="6" t="s">
        <v>90</v>
      </c>
      <c r="E184" s="22">
        <v>3804031</v>
      </c>
      <c r="F184" s="22" t="s">
        <v>36</v>
      </c>
      <c r="G184" s="22" t="s">
        <v>5</v>
      </c>
      <c r="H184" s="14" t="s">
        <v>40</v>
      </c>
      <c r="I184" s="23">
        <v>10853.54</v>
      </c>
      <c r="J184" s="23">
        <v>8885.84</v>
      </c>
      <c r="K184" s="23">
        <v>659</v>
      </c>
      <c r="L184" s="23"/>
      <c r="M184" s="23">
        <f>3476.32+349.09</f>
        <v>3825.4100000000003</v>
      </c>
      <c r="N184" s="23">
        <v>358.55</v>
      </c>
      <c r="O184" s="23">
        <f t="shared" si="10"/>
        <v>4183.96</v>
      </c>
      <c r="P184" s="24">
        <f t="shared" si="8"/>
        <v>0.38549265953780976</v>
      </c>
      <c r="Q184" s="24"/>
      <c r="R184" s="37">
        <v>3749.92</v>
      </c>
      <c r="S184" s="25">
        <f t="shared" si="9"/>
        <v>0.34550202053892093</v>
      </c>
      <c r="T184" s="24"/>
      <c r="U184" s="26">
        <f t="shared" si="11"/>
        <v>0.73099468007673063</v>
      </c>
      <c r="V184" s="36"/>
    </row>
    <row r="185" spans="1:27" x14ac:dyDescent="0.25">
      <c r="A185" s="20">
        <v>184</v>
      </c>
      <c r="B185" s="21" t="s">
        <v>89</v>
      </c>
      <c r="C185" s="21" t="s">
        <v>87</v>
      </c>
      <c r="D185" s="6" t="s">
        <v>90</v>
      </c>
      <c r="E185" s="22">
        <v>3804032</v>
      </c>
      <c r="F185" s="6" t="s">
        <v>37</v>
      </c>
      <c r="G185" s="6" t="s">
        <v>5</v>
      </c>
      <c r="H185" s="5" t="s">
        <v>40</v>
      </c>
      <c r="I185" s="37">
        <v>9161.2000000000007</v>
      </c>
      <c r="J185" s="23">
        <v>5554.39</v>
      </c>
      <c r="K185" s="23">
        <v>525</v>
      </c>
      <c r="L185" s="23"/>
      <c r="M185" s="23">
        <f>3353.56-12.35</f>
        <v>3341.21</v>
      </c>
      <c r="N185" s="23">
        <v>0</v>
      </c>
      <c r="O185" s="23">
        <f t="shared" si="10"/>
        <v>3341.21</v>
      </c>
      <c r="P185" s="24">
        <f t="shared" si="8"/>
        <v>0.36471313801685368</v>
      </c>
      <c r="Q185" s="24"/>
      <c r="R185" s="23">
        <f>1350+850+200</f>
        <v>2400</v>
      </c>
      <c r="S185" s="25">
        <f t="shared" si="9"/>
        <v>0.26197441383224901</v>
      </c>
      <c r="T185" s="24"/>
      <c r="U185" s="26">
        <f t="shared" si="11"/>
        <v>0.62668755184910263</v>
      </c>
      <c r="V185" s="36"/>
    </row>
    <row r="186" spans="1:27" x14ac:dyDescent="0.25">
      <c r="A186" s="20">
        <v>185</v>
      </c>
      <c r="B186" s="21" t="s">
        <v>89</v>
      </c>
      <c r="C186" s="21" t="s">
        <v>87</v>
      </c>
      <c r="D186" s="6" t="s">
        <v>90</v>
      </c>
      <c r="E186" s="22">
        <v>3804033</v>
      </c>
      <c r="F186" s="22" t="s">
        <v>38</v>
      </c>
      <c r="G186" s="22" t="s">
        <v>5</v>
      </c>
      <c r="H186" s="14" t="s">
        <v>40</v>
      </c>
      <c r="I186" s="23">
        <v>8433.56</v>
      </c>
      <c r="J186" s="23">
        <v>6440.59</v>
      </c>
      <c r="K186" s="23">
        <v>605</v>
      </c>
      <c r="L186" s="23"/>
      <c r="M186" s="23">
        <f>2907.34-12.35</f>
        <v>2894.9900000000002</v>
      </c>
      <c r="N186" s="23">
        <v>444.94</v>
      </c>
      <c r="O186" s="23">
        <f t="shared" si="10"/>
        <v>3339.9300000000003</v>
      </c>
      <c r="P186" s="24">
        <f t="shared" si="8"/>
        <v>0.39602848619088504</v>
      </c>
      <c r="Q186" s="24"/>
      <c r="R186" s="23">
        <f>1350+850+165.58</f>
        <v>2365.58</v>
      </c>
      <c r="S186" s="25">
        <f t="shared" si="9"/>
        <v>0.28049601828883652</v>
      </c>
      <c r="T186" s="24"/>
      <c r="U186" s="26">
        <f t="shared" si="11"/>
        <v>0.67652450447972157</v>
      </c>
      <c r="V186" s="36"/>
    </row>
    <row r="187" spans="1:27" x14ac:dyDescent="0.25">
      <c r="A187" s="20">
        <v>186</v>
      </c>
      <c r="B187" s="21" t="s">
        <v>89</v>
      </c>
      <c r="C187" s="21" t="s">
        <v>87</v>
      </c>
      <c r="D187" s="6" t="s">
        <v>90</v>
      </c>
      <c r="E187" s="22">
        <v>3804034</v>
      </c>
      <c r="F187" s="6" t="s">
        <v>53</v>
      </c>
      <c r="G187" s="22" t="s">
        <v>79</v>
      </c>
      <c r="H187" s="5" t="s">
        <v>41</v>
      </c>
      <c r="I187" s="23">
        <v>8482.39</v>
      </c>
      <c r="J187" s="23">
        <v>0</v>
      </c>
      <c r="K187" s="23">
        <v>496</v>
      </c>
      <c r="L187" s="23"/>
      <c r="M187" s="23">
        <f>2173.23-31.48</f>
        <v>2141.75</v>
      </c>
      <c r="N187" s="23">
        <v>0</v>
      </c>
      <c r="O187" s="23">
        <f t="shared" si="10"/>
        <v>2141.75</v>
      </c>
      <c r="P187" s="24">
        <f t="shared" si="8"/>
        <v>0.25249369576263297</v>
      </c>
      <c r="Q187" s="24"/>
      <c r="R187" s="23">
        <f>662.49+2400</f>
        <v>3062.49</v>
      </c>
      <c r="S187" s="25">
        <f t="shared" si="9"/>
        <v>0.36104093303891943</v>
      </c>
      <c r="T187" s="24"/>
      <c r="U187" s="26">
        <f t="shared" si="11"/>
        <v>0.61353462880155241</v>
      </c>
      <c r="V187" s="36"/>
    </row>
    <row r="188" spans="1:27" x14ac:dyDescent="0.25">
      <c r="A188" s="20">
        <v>187</v>
      </c>
      <c r="B188" s="21" t="s">
        <v>91</v>
      </c>
      <c r="C188" s="21" t="s">
        <v>87</v>
      </c>
      <c r="D188" s="6" t="s">
        <v>92</v>
      </c>
      <c r="E188" s="22">
        <v>3804001</v>
      </c>
      <c r="F188" s="22" t="s">
        <v>4</v>
      </c>
      <c r="G188" s="22" t="s">
        <v>5</v>
      </c>
      <c r="H188" s="5" t="s">
        <v>40</v>
      </c>
      <c r="I188" s="23">
        <v>27159.41</v>
      </c>
      <c r="J188" s="23">
        <v>27458.45</v>
      </c>
      <c r="K188" s="23">
        <v>1795</v>
      </c>
      <c r="L188" s="23"/>
      <c r="M188" s="23">
        <f>7797.3-222</f>
        <v>7575.3</v>
      </c>
      <c r="N188" s="23">
        <v>802.37</v>
      </c>
      <c r="O188" s="23">
        <f t="shared" si="10"/>
        <v>8377.67</v>
      </c>
      <c r="P188" s="24">
        <f t="shared" si="8"/>
        <v>0.30846288634399643</v>
      </c>
      <c r="Q188" s="24"/>
      <c r="R188" s="23">
        <f>780+165.58+5253.58</f>
        <v>6199.16</v>
      </c>
      <c r="S188" s="25">
        <f t="shared" si="9"/>
        <v>0.22825090824874325</v>
      </c>
      <c r="T188" s="36"/>
      <c r="U188" s="26">
        <f t="shared" si="11"/>
        <v>0.53671379459273971</v>
      </c>
      <c r="V188" s="36"/>
    </row>
    <row r="189" spans="1:27" x14ac:dyDescent="0.25">
      <c r="A189" s="20">
        <v>188</v>
      </c>
      <c r="B189" s="21" t="s">
        <v>91</v>
      </c>
      <c r="C189" s="21" t="s">
        <v>87</v>
      </c>
      <c r="D189" s="6" t="s">
        <v>92</v>
      </c>
      <c r="E189" s="22">
        <v>3804002</v>
      </c>
      <c r="F189" s="22" t="s">
        <v>6</v>
      </c>
      <c r="G189" s="22" t="s">
        <v>7</v>
      </c>
      <c r="H189" s="14" t="s">
        <v>41</v>
      </c>
      <c r="I189" s="23">
        <v>13673.77</v>
      </c>
      <c r="J189" s="23">
        <v>14252.32</v>
      </c>
      <c r="K189" s="23">
        <v>1009</v>
      </c>
      <c r="L189" s="23"/>
      <c r="M189" s="23">
        <f>38.67+3641.92-117-77.71-93.34</f>
        <v>3392.54</v>
      </c>
      <c r="N189" s="23">
        <v>425.67</v>
      </c>
      <c r="O189" s="23">
        <f t="shared" si="10"/>
        <v>3818.21</v>
      </c>
      <c r="P189" s="24">
        <f t="shared" si="8"/>
        <v>0.27923608485443296</v>
      </c>
      <c r="Q189" s="24"/>
      <c r="R189" s="23">
        <v>3414.49</v>
      </c>
      <c r="S189" s="25">
        <f t="shared" si="9"/>
        <v>0.24971094292210558</v>
      </c>
      <c r="T189" s="24"/>
      <c r="U189" s="26">
        <f t="shared" si="11"/>
        <v>0.52894702777653857</v>
      </c>
      <c r="V189" s="36"/>
      <c r="W189" s="38"/>
      <c r="X189" s="38"/>
      <c r="Y189" s="38"/>
      <c r="Z189" s="38"/>
      <c r="AA189" s="38"/>
    </row>
    <row r="190" spans="1:27" x14ac:dyDescent="0.25">
      <c r="A190" s="20">
        <v>189</v>
      </c>
      <c r="B190" s="21" t="s">
        <v>91</v>
      </c>
      <c r="C190" s="21" t="s">
        <v>87</v>
      </c>
      <c r="D190" s="6" t="s">
        <v>92</v>
      </c>
      <c r="E190" s="22">
        <v>3804003</v>
      </c>
      <c r="F190" s="22" t="s">
        <v>8</v>
      </c>
      <c r="G190" s="22" t="s">
        <v>7</v>
      </c>
      <c r="H190" s="5" t="s">
        <v>41</v>
      </c>
      <c r="I190" s="23">
        <v>11614.11</v>
      </c>
      <c r="J190" s="23">
        <v>7256.48</v>
      </c>
      <c r="K190" s="23">
        <v>739</v>
      </c>
      <c r="L190" s="23"/>
      <c r="M190" s="23">
        <f>3144.06+83.4-96+139.7</f>
        <v>3271.16</v>
      </c>
      <c r="N190" s="23">
        <v>0</v>
      </c>
      <c r="O190" s="23">
        <f t="shared" si="10"/>
        <v>3271.16</v>
      </c>
      <c r="P190" s="24">
        <f t="shared" si="8"/>
        <v>0.28165395368220203</v>
      </c>
      <c r="Q190" s="24"/>
      <c r="R190" s="23">
        <f>2681.34+30</f>
        <v>2711.34</v>
      </c>
      <c r="S190" s="25">
        <f t="shared" si="9"/>
        <v>0.23345224042134954</v>
      </c>
      <c r="T190" s="24"/>
      <c r="U190" s="26">
        <f t="shared" si="11"/>
        <v>0.51510619410355152</v>
      </c>
      <c r="V190" s="36"/>
      <c r="W190" s="38"/>
      <c r="X190" s="38"/>
      <c r="Y190" s="38"/>
      <c r="Z190" s="38"/>
      <c r="AA190" s="38"/>
    </row>
    <row r="191" spans="1:27" x14ac:dyDescent="0.25">
      <c r="A191" s="20">
        <v>190</v>
      </c>
      <c r="B191" s="21" t="s">
        <v>91</v>
      </c>
      <c r="C191" s="21" t="s">
        <v>87</v>
      </c>
      <c r="D191" s="6" t="s">
        <v>92</v>
      </c>
      <c r="E191" s="22">
        <v>3804004</v>
      </c>
      <c r="F191" s="22" t="s">
        <v>9</v>
      </c>
      <c r="G191" s="22" t="s">
        <v>7</v>
      </c>
      <c r="H191" s="14" t="s">
        <v>41</v>
      </c>
      <c r="I191" s="23">
        <v>14722.67</v>
      </c>
      <c r="J191" s="23">
        <v>15991.75</v>
      </c>
      <c r="K191" s="23">
        <v>983</v>
      </c>
      <c r="L191" s="23"/>
      <c r="M191" s="23">
        <f>228.99+4408.11-105</f>
        <v>4532.0999999999995</v>
      </c>
      <c r="N191" s="23">
        <v>433.13</v>
      </c>
      <c r="O191" s="23">
        <f t="shared" ref="O191:O218" si="12">+M191+N191</f>
        <v>4965.2299999999996</v>
      </c>
      <c r="P191" s="24">
        <f t="shared" si="8"/>
        <v>0.33725064815009775</v>
      </c>
      <c r="Q191" s="24"/>
      <c r="R191" s="23">
        <v>3609.82</v>
      </c>
      <c r="S191" s="25">
        <f t="shared" si="9"/>
        <v>0.2451878633427225</v>
      </c>
      <c r="T191" s="24"/>
      <c r="U191" s="26">
        <f t="shared" ref="U191:U218" si="13">+S191+P191</f>
        <v>0.58243851149282022</v>
      </c>
      <c r="V191" s="36"/>
      <c r="W191" s="38"/>
      <c r="X191" s="38"/>
      <c r="Y191" s="38"/>
      <c r="Z191" s="38"/>
      <c r="AA191" s="38"/>
    </row>
    <row r="192" spans="1:27" x14ac:dyDescent="0.25">
      <c r="A192" s="20">
        <v>191</v>
      </c>
      <c r="B192" s="21" t="s">
        <v>91</v>
      </c>
      <c r="C192" s="21" t="s">
        <v>87</v>
      </c>
      <c r="D192" s="6" t="s">
        <v>92</v>
      </c>
      <c r="E192" s="6">
        <v>3804005</v>
      </c>
      <c r="F192" s="22" t="s">
        <v>10</v>
      </c>
      <c r="G192" s="22" t="s">
        <v>7</v>
      </c>
      <c r="H192" s="5" t="s">
        <v>41</v>
      </c>
      <c r="I192" s="23">
        <v>12422.03</v>
      </c>
      <c r="J192" s="23">
        <v>13702.16</v>
      </c>
      <c r="K192" s="23">
        <v>796</v>
      </c>
      <c r="L192" s="23"/>
      <c r="M192" s="23">
        <f>3735.52-111+91.75</f>
        <v>3716.27</v>
      </c>
      <c r="N192" s="23">
        <v>0</v>
      </c>
      <c r="O192" s="23">
        <f t="shared" si="12"/>
        <v>3716.27</v>
      </c>
      <c r="P192" s="24">
        <f t="shared" si="8"/>
        <v>0.2991676883729954</v>
      </c>
      <c r="Q192" s="24"/>
      <c r="R192" s="23">
        <v>3076.55</v>
      </c>
      <c r="S192" s="25">
        <f t="shared" si="9"/>
        <v>0.24766885927662388</v>
      </c>
      <c r="T192" s="24"/>
      <c r="U192" s="26">
        <f t="shared" si="13"/>
        <v>0.54683654764961931</v>
      </c>
      <c r="V192" s="36"/>
      <c r="W192" s="38"/>
      <c r="X192" s="38"/>
      <c r="Y192" s="38"/>
      <c r="Z192" s="38"/>
      <c r="AA192" s="38"/>
    </row>
    <row r="193" spans="1:27" x14ac:dyDescent="0.25">
      <c r="A193" s="20">
        <v>192</v>
      </c>
      <c r="B193" s="21" t="s">
        <v>91</v>
      </c>
      <c r="C193" s="21" t="s">
        <v>87</v>
      </c>
      <c r="D193" s="6" t="s">
        <v>92</v>
      </c>
      <c r="E193" s="22">
        <v>3804006</v>
      </c>
      <c r="F193" s="22" t="s">
        <v>11</v>
      </c>
      <c r="G193" s="22" t="s">
        <v>7</v>
      </c>
      <c r="H193" s="14" t="s">
        <v>41</v>
      </c>
      <c r="I193" s="23">
        <v>7735.98</v>
      </c>
      <c r="J193" s="23">
        <v>9369.24</v>
      </c>
      <c r="K193" s="23">
        <v>587</v>
      </c>
      <c r="L193" s="23"/>
      <c r="M193" s="23">
        <f>1945.5-123+91.75</f>
        <v>1914.25</v>
      </c>
      <c r="N193" s="23">
        <v>0</v>
      </c>
      <c r="O193" s="23">
        <f t="shared" si="12"/>
        <v>1914.25</v>
      </c>
      <c r="P193" s="24">
        <f t="shared" si="8"/>
        <v>0.24744764076432463</v>
      </c>
      <c r="Q193" s="24"/>
      <c r="R193" s="23">
        <v>2104.4</v>
      </c>
      <c r="S193" s="25">
        <f t="shared" si="9"/>
        <v>0.27202759055736964</v>
      </c>
      <c r="T193" s="24"/>
      <c r="U193" s="26">
        <f t="shared" si="13"/>
        <v>0.51947523132169426</v>
      </c>
      <c r="V193" s="36"/>
      <c r="W193" s="38"/>
      <c r="X193" s="38"/>
      <c r="Y193" s="38"/>
      <c r="Z193" s="38"/>
      <c r="AA193" s="38"/>
    </row>
    <row r="194" spans="1:27" x14ac:dyDescent="0.25">
      <c r="A194" s="20">
        <v>193</v>
      </c>
      <c r="B194" s="21" t="s">
        <v>91</v>
      </c>
      <c r="C194" s="21" t="s">
        <v>87</v>
      </c>
      <c r="D194" s="6" t="s">
        <v>92</v>
      </c>
      <c r="E194" s="22">
        <v>3804008</v>
      </c>
      <c r="F194" s="22" t="s">
        <v>12</v>
      </c>
      <c r="G194" s="5" t="s">
        <v>42</v>
      </c>
      <c r="H194" s="5" t="s">
        <v>41</v>
      </c>
      <c r="I194" s="23">
        <v>20598.23</v>
      </c>
      <c r="J194" s="23">
        <v>19839.78</v>
      </c>
      <c r="K194" s="23">
        <v>1285</v>
      </c>
      <c r="L194" s="23"/>
      <c r="M194" s="23">
        <f>5627.19-210-36.52</f>
        <v>5380.6699999999992</v>
      </c>
      <c r="N194" s="23">
        <v>574.67999999999995</v>
      </c>
      <c r="O194" s="23">
        <f t="shared" si="12"/>
        <v>5955.3499999999995</v>
      </c>
      <c r="P194" s="24">
        <f t="shared" ref="P194:P257" si="14">IFERROR(((M194+N194)/I194),0)</f>
        <v>0.28911950201546444</v>
      </c>
      <c r="Q194" s="24"/>
      <c r="R194" s="23">
        <f>342.12+5047</f>
        <v>5389.12</v>
      </c>
      <c r="S194" s="25">
        <f t="shared" ref="S194:S257" si="15">+R194/I194</f>
        <v>0.26163024687072628</v>
      </c>
      <c r="T194" s="24"/>
      <c r="U194" s="26">
        <f t="shared" si="13"/>
        <v>0.55074974888619077</v>
      </c>
      <c r="V194" s="36"/>
      <c r="W194" s="38"/>
      <c r="X194" s="38"/>
      <c r="Y194" s="38"/>
      <c r="Z194" s="38"/>
      <c r="AA194" s="38"/>
    </row>
    <row r="195" spans="1:27" x14ac:dyDescent="0.25">
      <c r="A195" s="20">
        <v>194</v>
      </c>
      <c r="B195" s="21" t="s">
        <v>91</v>
      </c>
      <c r="C195" s="21" t="s">
        <v>87</v>
      </c>
      <c r="D195" s="6" t="s">
        <v>92</v>
      </c>
      <c r="E195" s="22">
        <v>3804009</v>
      </c>
      <c r="F195" s="22" t="s">
        <v>13</v>
      </c>
      <c r="G195" s="14" t="s">
        <v>42</v>
      </c>
      <c r="H195" s="14" t="s">
        <v>41</v>
      </c>
      <c r="I195" s="23">
        <v>15007.23</v>
      </c>
      <c r="J195" s="23">
        <v>14416.03</v>
      </c>
      <c r="K195" s="23">
        <v>910</v>
      </c>
      <c r="L195" s="23"/>
      <c r="M195" s="23">
        <f>4300.32-24.7-207</f>
        <v>4068.62</v>
      </c>
      <c r="N195" s="23">
        <v>0</v>
      </c>
      <c r="O195" s="23">
        <f t="shared" si="12"/>
        <v>4068.62</v>
      </c>
      <c r="P195" s="24">
        <f t="shared" si="14"/>
        <v>0.27111065799617917</v>
      </c>
      <c r="Q195" s="24"/>
      <c r="R195" s="23">
        <v>3903</v>
      </c>
      <c r="S195" s="25">
        <f t="shared" si="15"/>
        <v>0.26007464402158159</v>
      </c>
      <c r="T195" s="24"/>
      <c r="U195" s="26">
        <f t="shared" si="13"/>
        <v>0.53118530201776082</v>
      </c>
      <c r="V195" s="36"/>
      <c r="W195" s="38"/>
      <c r="X195" s="38"/>
      <c r="Y195" s="38"/>
      <c r="Z195" s="38"/>
      <c r="AA195" s="38"/>
    </row>
    <row r="196" spans="1:27" x14ac:dyDescent="0.25">
      <c r="A196" s="20">
        <v>195</v>
      </c>
      <c r="B196" s="21" t="s">
        <v>91</v>
      </c>
      <c r="C196" s="21" t="s">
        <v>87</v>
      </c>
      <c r="D196" s="6" t="s">
        <v>92</v>
      </c>
      <c r="E196" s="6">
        <v>3804010</v>
      </c>
      <c r="F196" s="22" t="s">
        <v>14</v>
      </c>
      <c r="G196" s="5" t="s">
        <v>42</v>
      </c>
      <c r="H196" s="5" t="s">
        <v>41</v>
      </c>
      <c r="I196" s="23">
        <v>7733.52</v>
      </c>
      <c r="J196" s="23">
        <v>9223.1</v>
      </c>
      <c r="K196" s="23">
        <v>445</v>
      </c>
      <c r="L196" s="23"/>
      <c r="M196" s="23">
        <f>2752.11-37.4-90</f>
        <v>2624.71</v>
      </c>
      <c r="N196" s="23">
        <v>0</v>
      </c>
      <c r="O196" s="23">
        <f t="shared" si="12"/>
        <v>2624.71</v>
      </c>
      <c r="P196" s="24">
        <f t="shared" si="14"/>
        <v>0.33939396290434365</v>
      </c>
      <c r="Q196" s="24"/>
      <c r="R196" s="23">
        <v>2148</v>
      </c>
      <c r="S196" s="25">
        <f t="shared" si="15"/>
        <v>0.27775191633305402</v>
      </c>
      <c r="T196" s="24"/>
      <c r="U196" s="26">
        <f t="shared" si="13"/>
        <v>0.61714587923739761</v>
      </c>
      <c r="V196" s="36"/>
      <c r="W196" s="38"/>
      <c r="X196" s="38"/>
      <c r="Y196" s="38"/>
      <c r="Z196" s="38"/>
      <c r="AA196" s="38"/>
    </row>
    <row r="197" spans="1:27" x14ac:dyDescent="0.25">
      <c r="A197" s="20">
        <v>196</v>
      </c>
      <c r="B197" s="21" t="s">
        <v>91</v>
      </c>
      <c r="C197" s="21" t="s">
        <v>87</v>
      </c>
      <c r="D197" s="6" t="s">
        <v>92</v>
      </c>
      <c r="E197" s="22">
        <v>3804011</v>
      </c>
      <c r="F197" s="22" t="s">
        <v>15</v>
      </c>
      <c r="G197" s="22" t="s">
        <v>16</v>
      </c>
      <c r="H197" s="14" t="s">
        <v>41</v>
      </c>
      <c r="I197" s="23">
        <v>24300.26</v>
      </c>
      <c r="J197" s="23">
        <v>24913.8</v>
      </c>
      <c r="K197" s="23">
        <v>1576</v>
      </c>
      <c r="L197" s="23"/>
      <c r="M197" s="23">
        <f>281.3-174+7542.24</f>
        <v>7649.54</v>
      </c>
      <c r="N197" s="23">
        <v>424.24</v>
      </c>
      <c r="O197" s="23">
        <f t="shared" si="12"/>
        <v>8073.78</v>
      </c>
      <c r="P197" s="24">
        <f t="shared" si="14"/>
        <v>0.33225076604118642</v>
      </c>
      <c r="Q197" s="24"/>
      <c r="R197" s="23">
        <f>4638.82+1096.15</f>
        <v>5734.9699999999993</v>
      </c>
      <c r="S197" s="25">
        <f t="shared" si="15"/>
        <v>0.23600447073405798</v>
      </c>
      <c r="T197" s="24"/>
      <c r="U197" s="26">
        <f t="shared" si="13"/>
        <v>0.56825523677524437</v>
      </c>
      <c r="V197" s="36"/>
      <c r="W197" s="38"/>
      <c r="X197" s="38"/>
      <c r="Y197" s="38"/>
      <c r="Z197" s="38"/>
      <c r="AA197" s="38"/>
    </row>
    <row r="198" spans="1:27" x14ac:dyDescent="0.25">
      <c r="A198" s="20">
        <v>197</v>
      </c>
      <c r="B198" s="21" t="s">
        <v>91</v>
      </c>
      <c r="C198" s="21" t="s">
        <v>87</v>
      </c>
      <c r="D198" s="6" t="s">
        <v>92</v>
      </c>
      <c r="E198" s="22">
        <v>3804013</v>
      </c>
      <c r="F198" s="6" t="s">
        <v>17</v>
      </c>
      <c r="G198" s="6" t="s">
        <v>16</v>
      </c>
      <c r="H198" s="5" t="s">
        <v>41</v>
      </c>
      <c r="I198" s="23">
        <v>8148.76</v>
      </c>
      <c r="J198" s="23">
        <v>6621.27</v>
      </c>
      <c r="K198" s="23">
        <v>515</v>
      </c>
      <c r="L198" s="23"/>
      <c r="M198" s="23">
        <f>-37.05-111+2695.18</f>
        <v>2547.1299999999997</v>
      </c>
      <c r="N198" s="23">
        <v>235.71</v>
      </c>
      <c r="O198" s="23">
        <f t="shared" si="12"/>
        <v>2782.8399999999997</v>
      </c>
      <c r="P198" s="24">
        <f t="shared" si="14"/>
        <v>0.34150471973649976</v>
      </c>
      <c r="Q198" s="24"/>
      <c r="R198" s="23">
        <v>2265.98</v>
      </c>
      <c r="S198" s="25">
        <f t="shared" si="15"/>
        <v>0.27807666442501683</v>
      </c>
      <c r="T198" s="24"/>
      <c r="U198" s="26">
        <f t="shared" si="13"/>
        <v>0.61958138416151654</v>
      </c>
      <c r="V198" s="36"/>
      <c r="W198" s="38"/>
      <c r="X198" s="38"/>
      <c r="Y198" s="38"/>
      <c r="Z198" s="38"/>
      <c r="AA198" s="38"/>
    </row>
    <row r="199" spans="1:27" x14ac:dyDescent="0.25">
      <c r="A199" s="20">
        <v>198</v>
      </c>
      <c r="B199" s="21" t="s">
        <v>91</v>
      </c>
      <c r="C199" s="21" t="s">
        <v>87</v>
      </c>
      <c r="D199" s="6" t="s">
        <v>92</v>
      </c>
      <c r="E199" s="22">
        <v>3804014</v>
      </c>
      <c r="F199" s="22" t="s">
        <v>18</v>
      </c>
      <c r="G199" s="22" t="s">
        <v>16</v>
      </c>
      <c r="H199" s="14" t="s">
        <v>41</v>
      </c>
      <c r="I199" s="23">
        <v>8051.17</v>
      </c>
      <c r="J199" s="23">
        <v>8553.67</v>
      </c>
      <c r="K199" s="23">
        <v>488</v>
      </c>
      <c r="L199" s="23"/>
      <c r="M199" s="23">
        <f>2218.35-12.35-75-10.98</f>
        <v>2120.02</v>
      </c>
      <c r="N199" s="23">
        <v>325.73</v>
      </c>
      <c r="O199" s="23">
        <f t="shared" si="12"/>
        <v>2445.75</v>
      </c>
      <c r="P199" s="24">
        <f t="shared" si="14"/>
        <v>0.303775724522026</v>
      </c>
      <c r="Q199" s="24"/>
      <c r="R199" s="23">
        <v>1911.64</v>
      </c>
      <c r="S199" s="25">
        <f t="shared" si="15"/>
        <v>0.23743629807841593</v>
      </c>
      <c r="T199" s="24"/>
      <c r="U199" s="26">
        <f t="shared" si="13"/>
        <v>0.54121202260044199</v>
      </c>
      <c r="V199" s="36"/>
      <c r="W199" s="38"/>
      <c r="X199" s="38"/>
      <c r="Y199" s="38"/>
      <c r="Z199" s="38"/>
      <c r="AA199" s="38"/>
    </row>
    <row r="200" spans="1:27" x14ac:dyDescent="0.25">
      <c r="A200" s="20">
        <v>199</v>
      </c>
      <c r="B200" s="21" t="s">
        <v>91</v>
      </c>
      <c r="C200" s="21" t="s">
        <v>87</v>
      </c>
      <c r="D200" s="6" t="s">
        <v>92</v>
      </c>
      <c r="E200" s="6">
        <v>3804015</v>
      </c>
      <c r="F200" s="6" t="s">
        <v>19</v>
      </c>
      <c r="G200" s="6" t="s">
        <v>20</v>
      </c>
      <c r="H200" s="5" t="s">
        <v>41</v>
      </c>
      <c r="I200" s="23">
        <v>12307.9</v>
      </c>
      <c r="J200" s="23">
        <v>16335.99</v>
      </c>
      <c r="K200" s="23">
        <v>809</v>
      </c>
      <c r="L200" s="23"/>
      <c r="M200" s="23">
        <f>-29.7+4254.53-57</f>
        <v>4167.83</v>
      </c>
      <c r="N200" s="23">
        <f>260.73+246.15</f>
        <v>506.88</v>
      </c>
      <c r="O200" s="23">
        <f t="shared" si="12"/>
        <v>4674.71</v>
      </c>
      <c r="P200" s="24">
        <f t="shared" si="14"/>
        <v>0.37981377814249384</v>
      </c>
      <c r="Q200" s="24"/>
      <c r="R200" s="23">
        <v>3678.04</v>
      </c>
      <c r="S200" s="25">
        <f t="shared" si="15"/>
        <v>0.2988357071474419</v>
      </c>
      <c r="T200" s="24"/>
      <c r="U200" s="26">
        <f t="shared" si="13"/>
        <v>0.67864948528993574</v>
      </c>
      <c r="V200" s="36"/>
      <c r="W200" s="38"/>
      <c r="X200" s="38"/>
      <c r="Y200" s="38"/>
      <c r="Z200" s="38"/>
      <c r="AA200" s="38"/>
    </row>
    <row r="201" spans="1:27" x14ac:dyDescent="0.25">
      <c r="A201" s="20">
        <v>200</v>
      </c>
      <c r="B201" s="21" t="s">
        <v>91</v>
      </c>
      <c r="C201" s="21" t="s">
        <v>87</v>
      </c>
      <c r="D201" s="6" t="s">
        <v>92</v>
      </c>
      <c r="E201" s="22">
        <v>3804016</v>
      </c>
      <c r="F201" s="22" t="s">
        <v>21</v>
      </c>
      <c r="G201" s="22" t="s">
        <v>22</v>
      </c>
      <c r="H201" s="14" t="s">
        <v>40</v>
      </c>
      <c r="I201" s="23">
        <v>10112.92</v>
      </c>
      <c r="J201" s="23">
        <v>14911.83</v>
      </c>
      <c r="K201" s="23">
        <v>625</v>
      </c>
      <c r="L201" s="23"/>
      <c r="M201" s="23">
        <f>-12.35-29.7+3106.16-96</f>
        <v>2968.1099999999997</v>
      </c>
      <c r="N201" s="23">
        <f>293.86+524.87</f>
        <v>818.73</v>
      </c>
      <c r="O201" s="23">
        <f t="shared" si="12"/>
        <v>3786.8399999999997</v>
      </c>
      <c r="P201" s="24">
        <f t="shared" si="14"/>
        <v>0.37445564683592863</v>
      </c>
      <c r="Q201" s="24"/>
      <c r="R201" s="23">
        <v>2356.84</v>
      </c>
      <c r="S201" s="25">
        <f t="shared" si="15"/>
        <v>0.23305237260850478</v>
      </c>
      <c r="T201" s="24"/>
      <c r="U201" s="26">
        <f t="shared" si="13"/>
        <v>0.60750801944443344</v>
      </c>
      <c r="V201" s="36"/>
      <c r="W201" s="38"/>
      <c r="X201" s="38"/>
      <c r="Y201" s="38"/>
      <c r="Z201" s="38"/>
      <c r="AA201" s="38"/>
    </row>
    <row r="202" spans="1:27" x14ac:dyDescent="0.25">
      <c r="A202" s="20">
        <v>201</v>
      </c>
      <c r="B202" s="21" t="s">
        <v>91</v>
      </c>
      <c r="C202" s="21" t="s">
        <v>87</v>
      </c>
      <c r="D202" s="6" t="s">
        <v>92</v>
      </c>
      <c r="E202" s="6">
        <v>3804017</v>
      </c>
      <c r="F202" s="6" t="s">
        <v>23</v>
      </c>
      <c r="G202" s="6" t="s">
        <v>22</v>
      </c>
      <c r="H202" s="5" t="s">
        <v>40</v>
      </c>
      <c r="I202" s="23">
        <v>14019.85</v>
      </c>
      <c r="J202" s="23">
        <v>20484.240000000002</v>
      </c>
      <c r="K202" s="23">
        <v>834</v>
      </c>
      <c r="L202" s="23"/>
      <c r="M202" s="23">
        <f>4999.34-63-29.7</f>
        <v>4906.6400000000003</v>
      </c>
      <c r="N202" s="23">
        <v>275.47000000000003</v>
      </c>
      <c r="O202" s="23">
        <f t="shared" si="12"/>
        <v>5182.1100000000006</v>
      </c>
      <c r="P202" s="24">
        <f t="shared" si="14"/>
        <v>0.36962663651893568</v>
      </c>
      <c r="Q202" s="24"/>
      <c r="R202" s="23">
        <v>3483.69</v>
      </c>
      <c r="S202" s="25">
        <f t="shared" si="15"/>
        <v>0.24848268704729365</v>
      </c>
      <c r="T202" s="24"/>
      <c r="U202" s="26">
        <f t="shared" si="13"/>
        <v>0.61810932356622938</v>
      </c>
      <c r="V202" s="36"/>
      <c r="W202" s="38"/>
      <c r="X202" s="38"/>
      <c r="Y202" s="38"/>
      <c r="Z202" s="38"/>
      <c r="AA202" s="38"/>
    </row>
    <row r="203" spans="1:27" x14ac:dyDescent="0.25">
      <c r="A203" s="20">
        <v>202</v>
      </c>
      <c r="B203" s="21" t="s">
        <v>91</v>
      </c>
      <c r="C203" s="21" t="s">
        <v>87</v>
      </c>
      <c r="D203" s="6" t="s">
        <v>92</v>
      </c>
      <c r="E203" s="22">
        <v>3804018</v>
      </c>
      <c r="F203" s="22" t="s">
        <v>24</v>
      </c>
      <c r="G203" s="22" t="s">
        <v>20</v>
      </c>
      <c r="H203" s="14" t="s">
        <v>41</v>
      </c>
      <c r="I203" s="47">
        <v>17109.63</v>
      </c>
      <c r="J203" s="23">
        <v>17895.439999999999</v>
      </c>
      <c r="K203" s="23">
        <v>1057</v>
      </c>
      <c r="L203" s="23"/>
      <c r="M203" s="23">
        <f>5569.35-29.7-36</f>
        <v>5503.6500000000005</v>
      </c>
      <c r="N203" s="23">
        <v>393.48</v>
      </c>
      <c r="O203" s="23">
        <f t="shared" si="12"/>
        <v>5897.130000000001</v>
      </c>
      <c r="P203" s="24">
        <f t="shared" si="14"/>
        <v>0.34466730139693263</v>
      </c>
      <c r="Q203" s="24"/>
      <c r="R203" s="23">
        <v>3669.07</v>
      </c>
      <c r="S203" s="25">
        <f t="shared" si="15"/>
        <v>0.21444473083287013</v>
      </c>
      <c r="T203" s="24"/>
      <c r="U203" s="26">
        <f t="shared" si="13"/>
        <v>0.55911203222980277</v>
      </c>
      <c r="V203" s="36"/>
      <c r="W203" s="38"/>
      <c r="X203" s="38"/>
      <c r="Y203" s="38"/>
      <c r="Z203" s="38"/>
      <c r="AA203" s="38"/>
    </row>
    <row r="204" spans="1:27" x14ac:dyDescent="0.25">
      <c r="A204" s="20">
        <v>203</v>
      </c>
      <c r="B204" s="21" t="s">
        <v>91</v>
      </c>
      <c r="C204" s="21" t="s">
        <v>87</v>
      </c>
      <c r="D204" s="6" t="s">
        <v>92</v>
      </c>
      <c r="E204" s="22">
        <v>3804019</v>
      </c>
      <c r="F204" s="6" t="s">
        <v>25</v>
      </c>
      <c r="G204" s="6" t="s">
        <v>20</v>
      </c>
      <c r="H204" s="5" t="s">
        <v>41</v>
      </c>
      <c r="I204" s="23">
        <v>9847.6299999999992</v>
      </c>
      <c r="J204" s="23">
        <v>13115.99</v>
      </c>
      <c r="K204" s="23">
        <v>634</v>
      </c>
      <c r="L204" s="23"/>
      <c r="M204" s="23">
        <f>3436.32-29.7-9</f>
        <v>3397.6200000000003</v>
      </c>
      <c r="N204" s="23">
        <v>184.68</v>
      </c>
      <c r="O204" s="23">
        <f t="shared" si="12"/>
        <v>3582.3</v>
      </c>
      <c r="P204" s="24">
        <f t="shared" si="14"/>
        <v>0.3637728062488132</v>
      </c>
      <c r="Q204" s="24"/>
      <c r="R204" s="23">
        <v>2926.41</v>
      </c>
      <c r="S204" s="25">
        <f t="shared" si="15"/>
        <v>0.29716896349680078</v>
      </c>
      <c r="T204" s="24"/>
      <c r="U204" s="26">
        <f t="shared" si="13"/>
        <v>0.66094176974561392</v>
      </c>
      <c r="V204" s="36"/>
      <c r="W204" s="38"/>
      <c r="X204" s="38"/>
      <c r="Y204" s="38"/>
      <c r="Z204" s="38"/>
      <c r="AA204" s="38"/>
    </row>
    <row r="205" spans="1:27" x14ac:dyDescent="0.25">
      <c r="A205" s="20">
        <v>204</v>
      </c>
      <c r="B205" s="21" t="s">
        <v>91</v>
      </c>
      <c r="C205" s="21" t="s">
        <v>87</v>
      </c>
      <c r="D205" s="6" t="s">
        <v>92</v>
      </c>
      <c r="E205" s="22">
        <v>3804020</v>
      </c>
      <c r="F205" s="22" t="s">
        <v>26</v>
      </c>
      <c r="G205" s="22" t="s">
        <v>22</v>
      </c>
      <c r="H205" s="14" t="s">
        <v>40</v>
      </c>
      <c r="I205" s="23">
        <v>9660.15</v>
      </c>
      <c r="J205" s="23">
        <v>11859.28</v>
      </c>
      <c r="K205" s="23">
        <v>573</v>
      </c>
      <c r="L205" s="23"/>
      <c r="M205" s="23">
        <f>2859.12-18-29.7</f>
        <v>2811.42</v>
      </c>
      <c r="N205" s="23">
        <v>216.14</v>
      </c>
      <c r="O205" s="23">
        <f t="shared" si="12"/>
        <v>3027.56</v>
      </c>
      <c r="P205" s="24">
        <f t="shared" si="14"/>
        <v>0.31340714171105005</v>
      </c>
      <c r="Q205" s="24"/>
      <c r="R205" s="23">
        <v>2234.98</v>
      </c>
      <c r="S205" s="25">
        <f t="shared" si="15"/>
        <v>0.23136079667499987</v>
      </c>
      <c r="T205" s="24"/>
      <c r="U205" s="26">
        <f t="shared" si="13"/>
        <v>0.54476793838604998</v>
      </c>
      <c r="V205" s="36"/>
      <c r="W205" s="38"/>
      <c r="X205" s="38"/>
      <c r="Y205" s="38"/>
      <c r="Z205" s="38"/>
      <c r="AA205" s="38"/>
    </row>
    <row r="206" spans="1:27" x14ac:dyDescent="0.25">
      <c r="A206" s="20">
        <v>205</v>
      </c>
      <c r="B206" s="21" t="s">
        <v>91</v>
      </c>
      <c r="C206" s="21" t="s">
        <v>87</v>
      </c>
      <c r="D206" s="6" t="s">
        <v>92</v>
      </c>
      <c r="E206" s="22">
        <v>3804021</v>
      </c>
      <c r="F206" s="6" t="s">
        <v>27</v>
      </c>
      <c r="G206" s="6" t="s">
        <v>22</v>
      </c>
      <c r="H206" s="5" t="s">
        <v>40</v>
      </c>
      <c r="I206" s="23">
        <v>19715.009999999998</v>
      </c>
      <c r="J206" s="23">
        <v>27905.91</v>
      </c>
      <c r="K206" s="23">
        <v>1196</v>
      </c>
      <c r="L206" s="23"/>
      <c r="M206" s="23">
        <f>5800.4-87</f>
        <v>5713.4</v>
      </c>
      <c r="N206" s="23">
        <v>792.46</v>
      </c>
      <c r="O206" s="23">
        <f t="shared" si="12"/>
        <v>6505.86</v>
      </c>
      <c r="P206" s="24">
        <f t="shared" si="14"/>
        <v>0.32999526756516989</v>
      </c>
      <c r="Q206" s="24"/>
      <c r="R206" s="23">
        <f>4373.89+97.4</f>
        <v>4471.29</v>
      </c>
      <c r="S206" s="25">
        <f t="shared" si="15"/>
        <v>0.22679623292100792</v>
      </c>
      <c r="T206" s="24"/>
      <c r="U206" s="26">
        <f t="shared" si="13"/>
        <v>0.55679150048617787</v>
      </c>
      <c r="V206" s="36"/>
      <c r="W206" s="38"/>
      <c r="X206" s="38"/>
      <c r="Y206" s="38"/>
      <c r="Z206" s="38"/>
      <c r="AA206" s="38"/>
    </row>
    <row r="207" spans="1:27" x14ac:dyDescent="0.25">
      <c r="A207" s="20">
        <v>206</v>
      </c>
      <c r="B207" s="21" t="s">
        <v>91</v>
      </c>
      <c r="C207" s="21" t="s">
        <v>87</v>
      </c>
      <c r="D207" s="6" t="s">
        <v>92</v>
      </c>
      <c r="E207" s="22">
        <v>3804022</v>
      </c>
      <c r="F207" s="22" t="s">
        <v>28</v>
      </c>
      <c r="G207" s="22" t="s">
        <v>22</v>
      </c>
      <c r="H207" s="14" t="s">
        <v>40</v>
      </c>
      <c r="I207" s="23">
        <v>10778.85</v>
      </c>
      <c r="J207" s="23">
        <v>14007.51</v>
      </c>
      <c r="K207" s="23">
        <v>620</v>
      </c>
      <c r="L207" s="23"/>
      <c r="M207" s="23">
        <f>3498.81-29.7-18</f>
        <v>3451.11</v>
      </c>
      <c r="N207" s="23">
        <v>0</v>
      </c>
      <c r="O207" s="23">
        <f t="shared" si="12"/>
        <v>3451.11</v>
      </c>
      <c r="P207" s="24">
        <f t="shared" si="14"/>
        <v>0.32017423008948082</v>
      </c>
      <c r="Q207" s="24"/>
      <c r="R207" s="23">
        <v>2911.26</v>
      </c>
      <c r="S207" s="25">
        <f t="shared" si="15"/>
        <v>0.27009003743442017</v>
      </c>
      <c r="T207" s="24"/>
      <c r="U207" s="26">
        <f t="shared" si="13"/>
        <v>0.59026426752390093</v>
      </c>
      <c r="V207" s="36"/>
      <c r="W207" s="38"/>
      <c r="X207" s="38"/>
      <c r="Y207" s="38"/>
      <c r="Z207" s="38"/>
      <c r="AA207" s="38"/>
    </row>
    <row r="208" spans="1:27" x14ac:dyDescent="0.25">
      <c r="A208" s="20">
        <v>207</v>
      </c>
      <c r="B208" s="21" t="s">
        <v>91</v>
      </c>
      <c r="C208" s="21" t="s">
        <v>87</v>
      </c>
      <c r="D208" s="6" t="s">
        <v>92</v>
      </c>
      <c r="E208" s="22">
        <v>3804023</v>
      </c>
      <c r="F208" s="6" t="s">
        <v>29</v>
      </c>
      <c r="G208" s="6" t="s">
        <v>22</v>
      </c>
      <c r="H208" s="5" t="s">
        <v>40</v>
      </c>
      <c r="I208" s="23">
        <v>12025.43</v>
      </c>
      <c r="J208" s="23">
        <v>15822.83</v>
      </c>
      <c r="K208" s="23">
        <v>762</v>
      </c>
      <c r="L208" s="23"/>
      <c r="M208" s="23">
        <f>4894.13-29.7-63</f>
        <v>4801.43</v>
      </c>
      <c r="N208" s="23">
        <v>485.8</v>
      </c>
      <c r="O208" s="23">
        <f t="shared" si="12"/>
        <v>5287.2300000000005</v>
      </c>
      <c r="P208" s="24">
        <f t="shared" si="14"/>
        <v>0.43967076437183539</v>
      </c>
      <c r="Q208" s="24"/>
      <c r="R208" s="23">
        <v>2964.93</v>
      </c>
      <c r="S208" s="25">
        <f t="shared" si="15"/>
        <v>0.24655500884375858</v>
      </c>
      <c r="T208" s="24"/>
      <c r="U208" s="26">
        <f t="shared" si="13"/>
        <v>0.68622577321559397</v>
      </c>
      <c r="V208" s="36"/>
      <c r="W208" s="38"/>
      <c r="X208" s="38"/>
      <c r="Y208" s="38"/>
      <c r="Z208" s="38"/>
      <c r="AA208" s="38"/>
    </row>
    <row r="209" spans="1:27" x14ac:dyDescent="0.25">
      <c r="A209" s="20">
        <v>208</v>
      </c>
      <c r="B209" s="21" t="s">
        <v>91</v>
      </c>
      <c r="C209" s="21" t="s">
        <v>87</v>
      </c>
      <c r="D209" s="6" t="s">
        <v>92</v>
      </c>
      <c r="E209" s="22">
        <v>3804024</v>
      </c>
      <c r="F209" s="22" t="s">
        <v>30</v>
      </c>
      <c r="G209" s="22" t="s">
        <v>20</v>
      </c>
      <c r="H209" s="14" t="s">
        <v>41</v>
      </c>
      <c r="I209" s="23">
        <v>10998.81</v>
      </c>
      <c r="J209" s="23">
        <v>12441.66</v>
      </c>
      <c r="K209" s="23">
        <v>656</v>
      </c>
      <c r="L209" s="23"/>
      <c r="M209" s="23">
        <f>3261.71-24.7+87.14-29.7-141</f>
        <v>3153.4500000000003</v>
      </c>
      <c r="N209" s="23">
        <v>238.17</v>
      </c>
      <c r="O209" s="23">
        <f t="shared" si="12"/>
        <v>3391.6200000000003</v>
      </c>
      <c r="P209" s="24">
        <f t="shared" si="14"/>
        <v>0.30836245011960389</v>
      </c>
      <c r="Q209" s="24"/>
      <c r="R209" s="23">
        <f>3276.24+69.23</f>
        <v>3345.47</v>
      </c>
      <c r="S209" s="25">
        <f t="shared" si="15"/>
        <v>0.3041665416531425</v>
      </c>
      <c r="T209" s="24"/>
      <c r="U209" s="26">
        <f t="shared" si="13"/>
        <v>0.61252899177274633</v>
      </c>
      <c r="V209" s="36"/>
      <c r="W209" s="38"/>
      <c r="X209" s="38"/>
      <c r="Y209" s="38"/>
      <c r="Z209" s="38"/>
      <c r="AA209" s="38"/>
    </row>
    <row r="210" spans="1:27" x14ac:dyDescent="0.25">
      <c r="A210" s="20">
        <v>209</v>
      </c>
      <c r="B210" s="21" t="s">
        <v>91</v>
      </c>
      <c r="C210" s="21" t="s">
        <v>87</v>
      </c>
      <c r="D210" s="6" t="s">
        <v>92</v>
      </c>
      <c r="E210" s="22">
        <v>3804025</v>
      </c>
      <c r="F210" s="6" t="s">
        <v>31</v>
      </c>
      <c r="G210" s="6" t="s">
        <v>20</v>
      </c>
      <c r="H210" s="5" t="s">
        <v>41</v>
      </c>
      <c r="I210" s="23">
        <v>22654.5</v>
      </c>
      <c r="J210" s="23">
        <v>26415.94</v>
      </c>
      <c r="K210" s="23">
        <v>1384</v>
      </c>
      <c r="L210" s="23"/>
      <c r="M210" s="23">
        <f>6935.67-29.7-84</f>
        <v>6821.97</v>
      </c>
      <c r="N210" s="23">
        <v>445.93</v>
      </c>
      <c r="O210" s="23">
        <f t="shared" si="12"/>
        <v>7267.9000000000005</v>
      </c>
      <c r="P210" s="24">
        <f t="shared" si="14"/>
        <v>0.32081484914696862</v>
      </c>
      <c r="Q210" s="24"/>
      <c r="R210" s="23">
        <v>5071.2700000000004</v>
      </c>
      <c r="S210" s="25">
        <f t="shared" si="15"/>
        <v>0.22385265620516898</v>
      </c>
      <c r="T210" s="24"/>
      <c r="U210" s="26">
        <f t="shared" si="13"/>
        <v>0.54466750535213759</v>
      </c>
      <c r="V210" s="36"/>
      <c r="W210" s="38"/>
      <c r="X210" s="38"/>
      <c r="Y210" s="38"/>
      <c r="Z210" s="38"/>
      <c r="AA210" s="38"/>
    </row>
    <row r="211" spans="1:27" x14ac:dyDescent="0.25">
      <c r="A211" s="20">
        <v>210</v>
      </c>
      <c r="B211" s="21" t="s">
        <v>91</v>
      </c>
      <c r="C211" s="21" t="s">
        <v>87</v>
      </c>
      <c r="D211" s="6" t="s">
        <v>92</v>
      </c>
      <c r="E211" s="22">
        <v>3804026</v>
      </c>
      <c r="F211" s="22" t="s">
        <v>32</v>
      </c>
      <c r="G211" s="22" t="s">
        <v>79</v>
      </c>
      <c r="H211" s="15" t="s">
        <v>41</v>
      </c>
      <c r="I211" s="23">
        <v>12525.35</v>
      </c>
      <c r="J211" s="23">
        <v>11945.17</v>
      </c>
      <c r="K211" s="23">
        <v>766</v>
      </c>
      <c r="L211" s="23"/>
      <c r="M211" s="23">
        <f>4107.27-12.35-120</f>
        <v>3974.9200000000005</v>
      </c>
      <c r="N211" s="23">
        <v>321.49</v>
      </c>
      <c r="O211" s="23">
        <f t="shared" si="12"/>
        <v>4296.4100000000008</v>
      </c>
      <c r="P211" s="24">
        <f t="shared" si="14"/>
        <v>0.34301716119709236</v>
      </c>
      <c r="Q211" s="24"/>
      <c r="R211" s="23">
        <v>3593.42</v>
      </c>
      <c r="S211" s="25">
        <f t="shared" si="15"/>
        <v>0.28689178346313676</v>
      </c>
      <c r="T211" s="24"/>
      <c r="U211" s="26">
        <f t="shared" si="13"/>
        <v>0.62990894466022906</v>
      </c>
      <c r="V211" s="36"/>
      <c r="W211" s="38"/>
      <c r="X211" s="38"/>
      <c r="Y211" s="38"/>
      <c r="Z211" s="38"/>
      <c r="AA211" s="38"/>
    </row>
    <row r="212" spans="1:27" x14ac:dyDescent="0.25">
      <c r="A212" s="20">
        <v>211</v>
      </c>
      <c r="B212" s="21" t="s">
        <v>91</v>
      </c>
      <c r="C212" s="21" t="s">
        <v>87</v>
      </c>
      <c r="D212" s="6" t="s">
        <v>92</v>
      </c>
      <c r="E212" s="22">
        <v>3804027</v>
      </c>
      <c r="F212" s="6" t="s">
        <v>33</v>
      </c>
      <c r="G212" s="5" t="s">
        <v>43</v>
      </c>
      <c r="H212" s="5" t="s">
        <v>41</v>
      </c>
      <c r="I212" s="23">
        <v>16137.14</v>
      </c>
      <c r="J212" s="23">
        <v>11825.06</v>
      </c>
      <c r="K212" s="23">
        <v>1159</v>
      </c>
      <c r="L212" s="23"/>
      <c r="M212" s="23">
        <f>4596.03-297</f>
        <v>4299.03</v>
      </c>
      <c r="N212" s="23">
        <v>0</v>
      </c>
      <c r="O212" s="23">
        <f t="shared" si="12"/>
        <v>4299.03</v>
      </c>
      <c r="P212" s="24">
        <f t="shared" si="14"/>
        <v>0.26640594306054233</v>
      </c>
      <c r="Q212" s="24"/>
      <c r="R212" s="23">
        <f>1600+1970.23+277</f>
        <v>3847.23</v>
      </c>
      <c r="S212" s="25">
        <f t="shared" si="15"/>
        <v>0.23840841685701433</v>
      </c>
      <c r="T212" s="24"/>
      <c r="U212" s="26">
        <f t="shared" si="13"/>
        <v>0.50481435991755663</v>
      </c>
      <c r="V212" s="36"/>
      <c r="W212" s="38"/>
      <c r="X212" s="38"/>
      <c r="Y212" s="38"/>
      <c r="Z212" s="38"/>
      <c r="AA212" s="38"/>
    </row>
    <row r="213" spans="1:27" x14ac:dyDescent="0.25">
      <c r="A213" s="20">
        <v>212</v>
      </c>
      <c r="B213" s="21" t="s">
        <v>91</v>
      </c>
      <c r="C213" s="21" t="s">
        <v>87</v>
      </c>
      <c r="D213" s="6" t="s">
        <v>92</v>
      </c>
      <c r="E213" s="22">
        <v>3804029</v>
      </c>
      <c r="F213" s="22" t="s">
        <v>34</v>
      </c>
      <c r="G213" s="22" t="s">
        <v>79</v>
      </c>
      <c r="H213" s="14" t="s">
        <v>41</v>
      </c>
      <c r="I213" s="23">
        <v>10813.88</v>
      </c>
      <c r="J213" s="23">
        <v>8764.4699999999993</v>
      </c>
      <c r="K213" s="23">
        <v>685</v>
      </c>
      <c r="L213" s="23"/>
      <c r="M213" s="23">
        <f>2536.88-159</f>
        <v>2377.88</v>
      </c>
      <c r="N213" s="23">
        <v>0</v>
      </c>
      <c r="O213" s="23">
        <f t="shared" si="12"/>
        <v>2377.88</v>
      </c>
      <c r="P213" s="24">
        <f t="shared" si="14"/>
        <v>0.21989147281086902</v>
      </c>
      <c r="Q213" s="24"/>
      <c r="R213" s="23">
        <f>210.81+2370</f>
        <v>2580.81</v>
      </c>
      <c r="S213" s="25">
        <f t="shared" si="15"/>
        <v>0.23865717022937188</v>
      </c>
      <c r="T213" s="24"/>
      <c r="U213" s="26">
        <f t="shared" si="13"/>
        <v>0.4585486430402409</v>
      </c>
      <c r="V213" s="36"/>
      <c r="W213" s="38"/>
      <c r="X213" s="38"/>
      <c r="Y213" s="38"/>
      <c r="Z213" s="38"/>
      <c r="AA213" s="38"/>
    </row>
    <row r="214" spans="1:27" x14ac:dyDescent="0.25">
      <c r="A214" s="20">
        <v>213</v>
      </c>
      <c r="B214" s="21" t="s">
        <v>91</v>
      </c>
      <c r="C214" s="21" t="s">
        <v>87</v>
      </c>
      <c r="D214" s="6" t="s">
        <v>92</v>
      </c>
      <c r="E214" s="22">
        <v>3804030</v>
      </c>
      <c r="F214" s="6" t="s">
        <v>35</v>
      </c>
      <c r="G214" s="6" t="s">
        <v>5</v>
      </c>
      <c r="H214" s="5" t="s">
        <v>40</v>
      </c>
      <c r="I214" s="23">
        <v>8445.7999999999993</v>
      </c>
      <c r="J214" s="23">
        <v>8366.11</v>
      </c>
      <c r="K214" s="23">
        <v>508</v>
      </c>
      <c r="L214" s="23"/>
      <c r="M214" s="23">
        <f>2272.41-153</f>
        <v>2119.41</v>
      </c>
      <c r="N214" s="23">
        <v>175.85</v>
      </c>
      <c r="O214" s="23">
        <f t="shared" si="12"/>
        <v>2295.2599999999998</v>
      </c>
      <c r="P214" s="24">
        <f t="shared" si="14"/>
        <v>0.27176348007293566</v>
      </c>
      <c r="Q214" s="24"/>
      <c r="R214" s="23">
        <v>2203.0100000000002</v>
      </c>
      <c r="S214" s="25">
        <f t="shared" si="15"/>
        <v>0.26084089133060223</v>
      </c>
      <c r="T214" s="24"/>
      <c r="U214" s="26">
        <f t="shared" si="13"/>
        <v>0.53260437140353789</v>
      </c>
      <c r="V214" s="36"/>
      <c r="W214" s="38"/>
      <c r="X214" s="38"/>
      <c r="Y214" s="38"/>
      <c r="Z214" s="38"/>
      <c r="AA214" s="38"/>
    </row>
    <row r="215" spans="1:27" x14ac:dyDescent="0.25">
      <c r="A215" s="20">
        <v>214</v>
      </c>
      <c r="B215" s="21" t="s">
        <v>91</v>
      </c>
      <c r="C215" s="21" t="s">
        <v>87</v>
      </c>
      <c r="D215" s="6" t="s">
        <v>92</v>
      </c>
      <c r="E215" s="22">
        <v>3804031</v>
      </c>
      <c r="F215" s="22" t="s">
        <v>36</v>
      </c>
      <c r="G215" s="22" t="s">
        <v>5</v>
      </c>
      <c r="H215" s="14" t="s">
        <v>40</v>
      </c>
      <c r="I215" s="23">
        <v>10481.48</v>
      </c>
      <c r="J215" s="23">
        <v>9039.35</v>
      </c>
      <c r="K215" s="23">
        <v>653</v>
      </c>
      <c r="L215" s="23"/>
      <c r="M215" s="23">
        <f>3026.83-192</f>
        <v>2834.83</v>
      </c>
      <c r="N215" s="23">
        <v>0</v>
      </c>
      <c r="O215" s="23">
        <f t="shared" si="12"/>
        <v>2834.83</v>
      </c>
      <c r="P215" s="24">
        <f t="shared" si="14"/>
        <v>0.27046085094853017</v>
      </c>
      <c r="Q215" s="24"/>
      <c r="R215" s="37">
        <v>3337.11</v>
      </c>
      <c r="S215" s="25">
        <f t="shared" si="15"/>
        <v>0.31838156443555682</v>
      </c>
      <c r="T215" s="24"/>
      <c r="U215" s="26">
        <f t="shared" si="13"/>
        <v>0.58884241538408699</v>
      </c>
      <c r="V215" s="36"/>
      <c r="W215" s="38"/>
      <c r="X215" s="38"/>
      <c r="Y215" s="38"/>
      <c r="Z215" s="38"/>
      <c r="AA215" s="38"/>
    </row>
    <row r="216" spans="1:27" x14ac:dyDescent="0.25">
      <c r="A216" s="20">
        <v>215</v>
      </c>
      <c r="B216" s="21" t="s">
        <v>91</v>
      </c>
      <c r="C216" s="21" t="s">
        <v>87</v>
      </c>
      <c r="D216" s="6" t="s">
        <v>92</v>
      </c>
      <c r="E216" s="22">
        <v>3804032</v>
      </c>
      <c r="F216" s="6" t="s">
        <v>37</v>
      </c>
      <c r="G216" s="6" t="s">
        <v>5</v>
      </c>
      <c r="H216" s="5" t="s">
        <v>40</v>
      </c>
      <c r="I216" s="23">
        <v>9319.0499999999993</v>
      </c>
      <c r="J216" s="23">
        <v>5260.4</v>
      </c>
      <c r="K216" s="23">
        <v>563</v>
      </c>
      <c r="L216" s="23"/>
      <c r="M216" s="23">
        <f>2021.13-186</f>
        <v>1835.13</v>
      </c>
      <c r="N216" s="23">
        <v>0</v>
      </c>
      <c r="O216" s="23">
        <f t="shared" si="12"/>
        <v>1835.13</v>
      </c>
      <c r="P216" s="24">
        <f t="shared" si="14"/>
        <v>0.19692243308062521</v>
      </c>
      <c r="Q216" s="24"/>
      <c r="R216" s="23">
        <f>200+1350+850</f>
        <v>2400</v>
      </c>
      <c r="S216" s="25">
        <f t="shared" si="15"/>
        <v>0.25753698070082254</v>
      </c>
      <c r="T216" s="24"/>
      <c r="U216" s="26">
        <f t="shared" si="13"/>
        <v>0.45445941378144772</v>
      </c>
      <c r="V216" s="36"/>
      <c r="W216" s="38"/>
      <c r="X216" s="38"/>
      <c r="Y216" s="38"/>
      <c r="Z216" s="38"/>
      <c r="AA216" s="38"/>
    </row>
    <row r="217" spans="1:27" x14ac:dyDescent="0.25">
      <c r="A217" s="20">
        <v>216</v>
      </c>
      <c r="B217" s="21" t="s">
        <v>91</v>
      </c>
      <c r="C217" s="21" t="s">
        <v>87</v>
      </c>
      <c r="D217" s="6" t="s">
        <v>92</v>
      </c>
      <c r="E217" s="22">
        <v>3804033</v>
      </c>
      <c r="F217" s="22" t="s">
        <v>38</v>
      </c>
      <c r="G217" s="22" t="s">
        <v>5</v>
      </c>
      <c r="H217" s="14" t="s">
        <v>40</v>
      </c>
      <c r="I217" s="23">
        <v>7771.21</v>
      </c>
      <c r="J217" s="23">
        <v>6827.08</v>
      </c>
      <c r="K217" s="23">
        <v>565</v>
      </c>
      <c r="L217" s="23"/>
      <c r="M217" s="23">
        <f>2743.34-144</f>
        <v>2599.34</v>
      </c>
      <c r="N217" s="23">
        <v>0</v>
      </c>
      <c r="O217" s="23">
        <f t="shared" si="12"/>
        <v>2599.34</v>
      </c>
      <c r="P217" s="24">
        <f t="shared" si="14"/>
        <v>0.33448330440175983</v>
      </c>
      <c r="Q217" s="24"/>
      <c r="R217" s="23">
        <f>165.58+1350+850</f>
        <v>2365.58</v>
      </c>
      <c r="S217" s="25">
        <f t="shared" si="15"/>
        <v>0.30440304662980411</v>
      </c>
      <c r="T217" s="24"/>
      <c r="U217" s="26">
        <f t="shared" si="13"/>
        <v>0.63888635103156388</v>
      </c>
      <c r="V217" s="36"/>
      <c r="W217" s="38"/>
      <c r="X217" s="38"/>
      <c r="Y217" s="38"/>
      <c r="Z217" s="38"/>
      <c r="AA217" s="38"/>
    </row>
    <row r="218" spans="1:27" x14ac:dyDescent="0.25">
      <c r="A218" s="20">
        <v>217</v>
      </c>
      <c r="B218" s="21" t="s">
        <v>91</v>
      </c>
      <c r="C218" s="21" t="s">
        <v>87</v>
      </c>
      <c r="D218" s="6" t="s">
        <v>92</v>
      </c>
      <c r="E218" s="22">
        <v>3804034</v>
      </c>
      <c r="F218" s="6" t="s">
        <v>53</v>
      </c>
      <c r="G218" s="22" t="s">
        <v>79</v>
      </c>
      <c r="H218" s="5" t="s">
        <v>41</v>
      </c>
      <c r="I218" s="23">
        <v>7842.89</v>
      </c>
      <c r="J218" s="23">
        <v>0</v>
      </c>
      <c r="K218" s="23">
        <v>456</v>
      </c>
      <c r="L218" s="23"/>
      <c r="M218" s="23">
        <f>161.88+2060.96-33</f>
        <v>2189.84</v>
      </c>
      <c r="N218" s="23">
        <v>0</v>
      </c>
      <c r="O218" s="23">
        <f t="shared" si="12"/>
        <v>2189.84</v>
      </c>
      <c r="P218" s="24">
        <f t="shared" si="14"/>
        <v>0.27921340220250446</v>
      </c>
      <c r="Q218" s="24"/>
      <c r="R218" s="23">
        <f>2400+568.35</f>
        <v>2968.35</v>
      </c>
      <c r="S218" s="25">
        <f t="shared" si="15"/>
        <v>0.3784765564734428</v>
      </c>
      <c r="T218" s="24"/>
      <c r="U218" s="26">
        <f t="shared" si="13"/>
        <v>0.65768995867594726</v>
      </c>
      <c r="V218" s="36"/>
      <c r="W218" s="38"/>
      <c r="X218" s="38"/>
      <c r="Y218" s="38"/>
      <c r="Z218" s="38"/>
      <c r="AA218" s="38"/>
    </row>
    <row r="219" spans="1:27" x14ac:dyDescent="0.25">
      <c r="A219" s="20">
        <v>218</v>
      </c>
      <c r="B219" s="21" t="s">
        <v>93</v>
      </c>
      <c r="C219" s="21" t="s">
        <v>87</v>
      </c>
      <c r="D219" s="6" t="s">
        <v>94</v>
      </c>
      <c r="E219" s="22">
        <v>3804001</v>
      </c>
      <c r="F219" s="22" t="s">
        <v>4</v>
      </c>
      <c r="G219" s="22" t="s">
        <v>5</v>
      </c>
      <c r="H219" s="5" t="s">
        <v>40</v>
      </c>
      <c r="I219" s="23">
        <v>29113.62</v>
      </c>
      <c r="J219" s="23">
        <v>27718.16</v>
      </c>
      <c r="K219" s="23">
        <v>1861</v>
      </c>
      <c r="L219" s="23"/>
      <c r="M219" s="23">
        <v>7508.17</v>
      </c>
      <c r="N219" s="23">
        <v>786.52</v>
      </c>
      <c r="O219" s="23">
        <f>+Table24[[#This Row],[FoodcostBlueline]]+Table24[[#This Row],[Pepsico]]</f>
        <v>8294.69</v>
      </c>
      <c r="P219" s="24">
        <f t="shared" si="14"/>
        <v>0.28490754499096987</v>
      </c>
      <c r="Q219" s="24"/>
      <c r="R219" s="23">
        <f>165.58+5470.12</f>
        <v>5635.7</v>
      </c>
      <c r="S219" s="25">
        <f t="shared" si="15"/>
        <v>0.19357606508568842</v>
      </c>
      <c r="T219" s="36"/>
      <c r="U219" s="36">
        <f>Table24[[#This Row],[WagesPercent]]+Table24[[#This Row],[FoodCostPercent]]</f>
        <v>0.47848361007665829</v>
      </c>
      <c r="V219" s="36"/>
    </row>
    <row r="220" spans="1:27" x14ac:dyDescent="0.25">
      <c r="A220" s="20">
        <v>219</v>
      </c>
      <c r="B220" s="21" t="s">
        <v>93</v>
      </c>
      <c r="C220" s="21" t="s">
        <v>87</v>
      </c>
      <c r="D220" s="6" t="s">
        <v>94</v>
      </c>
      <c r="E220" s="22">
        <v>3804002</v>
      </c>
      <c r="F220" s="22" t="s">
        <v>6</v>
      </c>
      <c r="G220" s="22" t="s">
        <v>7</v>
      </c>
      <c r="H220" s="14" t="s">
        <v>41</v>
      </c>
      <c r="I220" s="23">
        <v>13605.08</v>
      </c>
      <c r="J220" s="23">
        <v>13648.51</v>
      </c>
      <c r="K220" s="23">
        <v>1078</v>
      </c>
      <c r="L220" s="23"/>
      <c r="M220" s="23">
        <f>998.42+3569.85</f>
        <v>4568.2699999999995</v>
      </c>
      <c r="N220" s="23">
        <f>559.9+569.06</f>
        <v>1128.96</v>
      </c>
      <c r="O220" s="23">
        <f>+Table24[[#This Row],[FoodcostBlueline]]+Table24[[#This Row],[Pepsico]]</f>
        <v>5697.23</v>
      </c>
      <c r="P220" s="24">
        <f t="shared" si="14"/>
        <v>0.41875755232604289</v>
      </c>
      <c r="Q220" s="24"/>
      <c r="R220" s="23">
        <v>3400.44</v>
      </c>
      <c r="S220" s="25">
        <f t="shared" si="15"/>
        <v>0.24993899337600367</v>
      </c>
      <c r="T220" s="36"/>
      <c r="U220" s="36">
        <f>Table24[[#This Row],[WagesPercent]]+Table24[[#This Row],[FoodCostPercent]]</f>
        <v>0.66869654570204662</v>
      </c>
      <c r="V220" s="36"/>
    </row>
    <row r="221" spans="1:27" x14ac:dyDescent="0.25">
      <c r="A221" s="20">
        <v>220</v>
      </c>
      <c r="B221" s="21" t="s">
        <v>93</v>
      </c>
      <c r="C221" s="21" t="s">
        <v>87</v>
      </c>
      <c r="D221" s="6" t="s">
        <v>94</v>
      </c>
      <c r="E221" s="22">
        <v>3804003</v>
      </c>
      <c r="F221" s="22" t="s">
        <v>8</v>
      </c>
      <c r="G221" s="22" t="s">
        <v>7</v>
      </c>
      <c r="H221" s="5" t="s">
        <v>41</v>
      </c>
      <c r="I221" s="23">
        <v>11902.93</v>
      </c>
      <c r="J221" s="23">
        <v>8957.8700000000008</v>
      </c>
      <c r="K221" s="23">
        <v>765</v>
      </c>
      <c r="L221" s="23"/>
      <c r="M221" s="23">
        <f>3082.94+277.79</f>
        <v>3360.73</v>
      </c>
      <c r="N221" s="23">
        <v>398.32</v>
      </c>
      <c r="O221" s="23">
        <f>+Table24[[#This Row],[FoodcostBlueline]]+Table24[[#This Row],[Pepsico]]</f>
        <v>3759.05</v>
      </c>
      <c r="P221" s="24">
        <f t="shared" si="14"/>
        <v>0.31580879665762968</v>
      </c>
      <c r="Q221" s="24"/>
      <c r="R221" s="23">
        <f>2854+50</f>
        <v>2904</v>
      </c>
      <c r="S221" s="25">
        <f t="shared" si="15"/>
        <v>0.24397354264874277</v>
      </c>
      <c r="T221" s="36"/>
      <c r="U221" s="36">
        <f>Table24[[#This Row],[WagesPercent]]+Table24[[#This Row],[FoodCostPercent]]</f>
        <v>0.55978233930637245</v>
      </c>
      <c r="V221" s="36"/>
    </row>
    <row r="222" spans="1:27" x14ac:dyDescent="0.25">
      <c r="A222" s="20">
        <v>221</v>
      </c>
      <c r="B222" s="21" t="s">
        <v>93</v>
      </c>
      <c r="C222" s="21" t="s">
        <v>87</v>
      </c>
      <c r="D222" s="6" t="s">
        <v>94</v>
      </c>
      <c r="E222" s="22">
        <v>3804004</v>
      </c>
      <c r="F222" s="22" t="s">
        <v>9</v>
      </c>
      <c r="G222" s="22" t="s">
        <v>7</v>
      </c>
      <c r="H222" s="14" t="s">
        <v>41</v>
      </c>
      <c r="I222" s="23">
        <v>16490.66</v>
      </c>
      <c r="J222" s="23">
        <v>15057.14</v>
      </c>
      <c r="K222" s="23">
        <v>1124</v>
      </c>
      <c r="L222" s="23"/>
      <c r="M222" s="23">
        <f>40.12+3945.9</f>
        <v>3986.02</v>
      </c>
      <c r="N222" s="23">
        <v>0</v>
      </c>
      <c r="O222" s="23">
        <f>+Table24[[#This Row],[FoodcostBlueline]]+Table24[[#This Row],[Pepsico]]</f>
        <v>3986.02</v>
      </c>
      <c r="P222" s="24">
        <f t="shared" si="14"/>
        <v>0.24171379435389487</v>
      </c>
      <c r="Q222" s="24"/>
      <c r="R222" s="23">
        <v>3337.72</v>
      </c>
      <c r="S222" s="25">
        <f t="shared" si="15"/>
        <v>0.20240063163026828</v>
      </c>
      <c r="T222" s="36"/>
      <c r="U222" s="36">
        <f>Table24[[#This Row],[WagesPercent]]+Table24[[#This Row],[FoodCostPercent]]</f>
        <v>0.44411442598416317</v>
      </c>
      <c r="V222" s="36"/>
    </row>
    <row r="223" spans="1:27" x14ac:dyDescent="0.25">
      <c r="A223" s="20">
        <v>222</v>
      </c>
      <c r="B223" s="21" t="s">
        <v>93</v>
      </c>
      <c r="C223" s="21" t="s">
        <v>87</v>
      </c>
      <c r="D223" s="6" t="s">
        <v>94</v>
      </c>
      <c r="E223" s="6">
        <v>3804005</v>
      </c>
      <c r="F223" s="22" t="s">
        <v>10</v>
      </c>
      <c r="G223" s="22" t="s">
        <v>7</v>
      </c>
      <c r="H223" s="5" t="s">
        <v>41</v>
      </c>
      <c r="I223" s="23">
        <v>12813.32</v>
      </c>
      <c r="J223" s="23">
        <v>13372.63</v>
      </c>
      <c r="K223" s="23">
        <v>804</v>
      </c>
      <c r="L223" s="23"/>
      <c r="M223" s="23">
        <f>3235.98-10.91+89.1+225.64</f>
        <v>3539.81</v>
      </c>
      <c r="N223" s="23">
        <f>544.61+489.72</f>
        <v>1034.33</v>
      </c>
      <c r="O223" s="23">
        <f>+Table24[[#This Row],[FoodcostBlueline]]+Table24[[#This Row],[Pepsico]]</f>
        <v>4574.1399999999994</v>
      </c>
      <c r="P223" s="24">
        <f t="shared" si="14"/>
        <v>0.35698320185556903</v>
      </c>
      <c r="Q223" s="24"/>
      <c r="R223" s="23">
        <v>3184.44</v>
      </c>
      <c r="S223" s="25">
        <f t="shared" si="15"/>
        <v>0.24852575288840051</v>
      </c>
      <c r="T223" s="36"/>
      <c r="U223" s="36">
        <f>Table24[[#This Row],[WagesPercent]]+Table24[[#This Row],[FoodCostPercent]]</f>
        <v>0.6055089547439696</v>
      </c>
      <c r="V223" s="36"/>
    </row>
    <row r="224" spans="1:27" x14ac:dyDescent="0.25">
      <c r="A224" s="20">
        <v>223</v>
      </c>
      <c r="B224" s="21" t="s">
        <v>93</v>
      </c>
      <c r="C224" s="21" t="s">
        <v>87</v>
      </c>
      <c r="D224" s="6" t="s">
        <v>94</v>
      </c>
      <c r="E224" s="22">
        <v>3804006</v>
      </c>
      <c r="F224" s="22" t="s">
        <v>11</v>
      </c>
      <c r="G224" s="22" t="s">
        <v>7</v>
      </c>
      <c r="H224" s="14" t="s">
        <v>41</v>
      </c>
      <c r="I224" s="23">
        <v>8187.23</v>
      </c>
      <c r="J224" s="23">
        <v>9217.11</v>
      </c>
      <c r="K224" s="23">
        <v>623</v>
      </c>
      <c r="L224" s="23"/>
      <c r="M224" s="23">
        <f>19.89+2272.77-49.09</f>
        <v>2243.5699999999997</v>
      </c>
      <c r="N224" s="23">
        <v>602.6</v>
      </c>
      <c r="O224" s="23">
        <f>+Table24[[#This Row],[FoodcostBlueline]]+Table24[[#This Row],[Pepsico]]</f>
        <v>2846.1699999999996</v>
      </c>
      <c r="P224" s="24">
        <f t="shared" si="14"/>
        <v>0.34763528079704609</v>
      </c>
      <c r="Q224" s="24"/>
      <c r="R224" s="23">
        <v>1968.12</v>
      </c>
      <c r="S224" s="25">
        <f t="shared" si="15"/>
        <v>0.24038899603406769</v>
      </c>
      <c r="T224" s="36"/>
      <c r="U224" s="36">
        <f>Table24[[#This Row],[WagesPercent]]+Table24[[#This Row],[FoodCostPercent]]</f>
        <v>0.5880242768311138</v>
      </c>
      <c r="V224" s="36"/>
    </row>
    <row r="225" spans="1:22" x14ac:dyDescent="0.25">
      <c r="A225" s="20">
        <v>224</v>
      </c>
      <c r="B225" s="21" t="s">
        <v>93</v>
      </c>
      <c r="C225" s="21" t="s">
        <v>87</v>
      </c>
      <c r="D225" s="6" t="s">
        <v>94</v>
      </c>
      <c r="E225" s="22">
        <v>3804008</v>
      </c>
      <c r="F225" s="22" t="s">
        <v>12</v>
      </c>
      <c r="G225" s="5" t="s">
        <v>42</v>
      </c>
      <c r="H225" s="5" t="s">
        <v>41</v>
      </c>
      <c r="I225" s="23">
        <v>20637.490000000002</v>
      </c>
      <c r="J225" s="23">
        <v>19387.150000000001</v>
      </c>
      <c r="K225" s="23">
        <v>1263</v>
      </c>
      <c r="L225" s="23"/>
      <c r="M225" s="23">
        <v>5625.68</v>
      </c>
      <c r="N225" s="23">
        <v>0</v>
      </c>
      <c r="O225" s="23">
        <f>+Table24[[#This Row],[FoodcostBlueline]]+Table24[[#This Row],[Pepsico]]</f>
        <v>5625.68</v>
      </c>
      <c r="P225" s="24">
        <f t="shared" si="14"/>
        <v>0.27259516540044354</v>
      </c>
      <c r="Q225" s="24"/>
      <c r="R225" s="23">
        <f>431.64+5080</f>
        <v>5511.64</v>
      </c>
      <c r="S225" s="25">
        <f t="shared" si="15"/>
        <v>0.26706929960959397</v>
      </c>
      <c r="T225" s="36"/>
      <c r="U225" s="36">
        <f>Table24[[#This Row],[WagesPercent]]+Table24[[#This Row],[FoodCostPercent]]</f>
        <v>0.53966446501003751</v>
      </c>
      <c r="V225" s="36"/>
    </row>
    <row r="226" spans="1:22" x14ac:dyDescent="0.25">
      <c r="A226" s="20">
        <v>225</v>
      </c>
      <c r="B226" s="21" t="s">
        <v>93</v>
      </c>
      <c r="C226" s="21" t="s">
        <v>87</v>
      </c>
      <c r="D226" s="6" t="s">
        <v>94</v>
      </c>
      <c r="E226" s="22">
        <v>3804009</v>
      </c>
      <c r="F226" s="22" t="s">
        <v>13</v>
      </c>
      <c r="G226" s="14" t="s">
        <v>42</v>
      </c>
      <c r="H226" s="14" t="s">
        <v>41</v>
      </c>
      <c r="I226" s="23">
        <v>16131.18</v>
      </c>
      <c r="J226" s="23">
        <v>12594.15</v>
      </c>
      <c r="K226" s="23">
        <v>974</v>
      </c>
      <c r="L226" s="23"/>
      <c r="M226" s="23">
        <v>4110</v>
      </c>
      <c r="N226" s="23">
        <v>0</v>
      </c>
      <c r="O226" s="23">
        <f>+Table24[[#This Row],[FoodcostBlueline]]+Table24[[#This Row],[Pepsico]]</f>
        <v>4110</v>
      </c>
      <c r="P226" s="24">
        <f t="shared" si="14"/>
        <v>0.25478607268656106</v>
      </c>
      <c r="Q226" s="24"/>
      <c r="R226" s="23">
        <v>3903</v>
      </c>
      <c r="S226" s="25">
        <f t="shared" si="15"/>
        <v>0.24195378143446419</v>
      </c>
      <c r="T226" s="36"/>
      <c r="U226" s="36">
        <f>Table24[[#This Row],[WagesPercent]]+Table24[[#This Row],[FoodCostPercent]]</f>
        <v>0.49673985412102528</v>
      </c>
      <c r="V226" s="36"/>
    </row>
    <row r="227" spans="1:22" x14ac:dyDescent="0.25">
      <c r="A227" s="20">
        <v>226</v>
      </c>
      <c r="B227" s="21" t="s">
        <v>93</v>
      </c>
      <c r="C227" s="21" t="s">
        <v>87</v>
      </c>
      <c r="D227" s="6" t="s">
        <v>94</v>
      </c>
      <c r="E227" s="6">
        <v>3804010</v>
      </c>
      <c r="F227" s="22" t="s">
        <v>14</v>
      </c>
      <c r="G227" s="5" t="s">
        <v>42</v>
      </c>
      <c r="H227" s="5" t="s">
        <v>41</v>
      </c>
      <c r="I227" s="23">
        <v>8464.2099999999991</v>
      </c>
      <c r="J227" s="23">
        <v>7943.77</v>
      </c>
      <c r="K227" s="23">
        <v>475</v>
      </c>
      <c r="L227" s="23"/>
      <c r="M227" s="23">
        <f>2270.15-9.1</f>
        <v>2261.0500000000002</v>
      </c>
      <c r="N227" s="23">
        <v>468.2</v>
      </c>
      <c r="O227" s="23">
        <f>+Table24[[#This Row],[FoodcostBlueline]]+Table24[[#This Row],[Pepsico]]</f>
        <v>2729.25</v>
      </c>
      <c r="P227" s="24">
        <f t="shared" si="14"/>
        <v>0.32244592230107716</v>
      </c>
      <c r="Q227" s="24"/>
      <c r="R227" s="23">
        <v>2148</v>
      </c>
      <c r="S227" s="25">
        <f t="shared" si="15"/>
        <v>0.25377442194841576</v>
      </c>
      <c r="T227" s="36"/>
      <c r="U227" s="36">
        <f>Table24[[#This Row],[WagesPercent]]+Table24[[#This Row],[FoodCostPercent]]</f>
        <v>0.57622034424949287</v>
      </c>
      <c r="V227" s="36"/>
    </row>
    <row r="228" spans="1:22" x14ac:dyDescent="0.25">
      <c r="A228" s="20">
        <v>227</v>
      </c>
      <c r="B228" s="21" t="s">
        <v>93</v>
      </c>
      <c r="C228" s="21" t="s">
        <v>87</v>
      </c>
      <c r="D228" s="6" t="s">
        <v>94</v>
      </c>
      <c r="E228" s="22">
        <v>3804011</v>
      </c>
      <c r="F228" s="22" t="s">
        <v>15</v>
      </c>
      <c r="G228" s="22" t="s">
        <v>16</v>
      </c>
      <c r="H228" s="14" t="s">
        <v>41</v>
      </c>
      <c r="I228" s="23">
        <v>26570.91</v>
      </c>
      <c r="J228" s="23">
        <v>24741.81</v>
      </c>
      <c r="K228" s="23">
        <v>1702</v>
      </c>
      <c r="L228" s="23"/>
      <c r="M228" s="23">
        <v>6250.98</v>
      </c>
      <c r="N228" s="23">
        <v>424.24</v>
      </c>
      <c r="O228" s="23">
        <f>+Table24[[#This Row],[FoodcostBlueline]]+Table24[[#This Row],[Pepsico]]</f>
        <v>6675.2199999999993</v>
      </c>
      <c r="P228" s="24">
        <f t="shared" si="14"/>
        <v>0.25122285988699672</v>
      </c>
      <c r="Q228" s="24"/>
      <c r="R228" s="23">
        <f>4623.38+1096.15</f>
        <v>5719.5300000000007</v>
      </c>
      <c r="S228" s="25">
        <f t="shared" si="15"/>
        <v>0.21525532998305291</v>
      </c>
      <c r="T228" s="36"/>
      <c r="U228" s="36">
        <f>Table24[[#This Row],[WagesPercent]]+Table24[[#This Row],[FoodCostPercent]]</f>
        <v>0.46647818987004963</v>
      </c>
      <c r="V228" s="36"/>
    </row>
    <row r="229" spans="1:22" x14ac:dyDescent="0.25">
      <c r="A229" s="20">
        <v>228</v>
      </c>
      <c r="B229" s="21" t="s">
        <v>93</v>
      </c>
      <c r="C229" s="21" t="s">
        <v>87</v>
      </c>
      <c r="D229" s="6" t="s">
        <v>94</v>
      </c>
      <c r="E229" s="22">
        <v>3804013</v>
      </c>
      <c r="F229" s="6" t="s">
        <v>17</v>
      </c>
      <c r="G229" s="6" t="s">
        <v>16</v>
      </c>
      <c r="H229" s="5" t="s">
        <v>41</v>
      </c>
      <c r="I229" s="23">
        <v>8669.57</v>
      </c>
      <c r="J229" s="23">
        <v>7183.14</v>
      </c>
      <c r="K229" s="23">
        <v>548</v>
      </c>
      <c r="L229" s="23"/>
      <c r="M229" s="23">
        <v>2829.25</v>
      </c>
      <c r="N229" s="23">
        <v>265.87</v>
      </c>
      <c r="O229" s="23">
        <f>+Table24[[#This Row],[FoodcostBlueline]]+Table24[[#This Row],[Pepsico]]</f>
        <v>3095.12</v>
      </c>
      <c r="P229" s="24">
        <f t="shared" si="14"/>
        <v>0.35700963254232909</v>
      </c>
      <c r="Q229" s="24"/>
      <c r="R229" s="23">
        <v>2253.38</v>
      </c>
      <c r="S229" s="25">
        <f t="shared" si="15"/>
        <v>0.25991831198087106</v>
      </c>
      <c r="T229" s="36"/>
      <c r="U229" s="36">
        <f>Table24[[#This Row],[WagesPercent]]+Table24[[#This Row],[FoodCostPercent]]</f>
        <v>0.6169279445232001</v>
      </c>
      <c r="V229" s="36"/>
    </row>
    <row r="230" spans="1:22" x14ac:dyDescent="0.25">
      <c r="A230" s="20">
        <v>229</v>
      </c>
      <c r="B230" s="21" t="s">
        <v>93</v>
      </c>
      <c r="C230" s="21" t="s">
        <v>87</v>
      </c>
      <c r="D230" s="6" t="s">
        <v>94</v>
      </c>
      <c r="E230" s="22">
        <v>3804014</v>
      </c>
      <c r="F230" s="22" t="s">
        <v>18</v>
      </c>
      <c r="G230" s="22" t="s">
        <v>16</v>
      </c>
      <c r="H230" s="14" t="s">
        <v>41</v>
      </c>
      <c r="I230" s="23">
        <v>8015.93</v>
      </c>
      <c r="J230" s="23">
        <v>8247.51</v>
      </c>
      <c r="K230" s="23">
        <v>495</v>
      </c>
      <c r="L230" s="23"/>
      <c r="M230" s="23">
        <v>2218.35</v>
      </c>
      <c r="N230" s="23">
        <v>0</v>
      </c>
      <c r="O230" s="23">
        <f>+Table24[[#This Row],[FoodcostBlueline]]+Table24[[#This Row],[Pepsico]]</f>
        <v>2218.35</v>
      </c>
      <c r="P230" s="24">
        <f t="shared" si="14"/>
        <v>0.27674268612625108</v>
      </c>
      <c r="Q230" s="24"/>
      <c r="R230" s="23">
        <v>2062.94</v>
      </c>
      <c r="S230" s="25">
        <f t="shared" si="15"/>
        <v>0.25735504177306939</v>
      </c>
      <c r="T230" s="36"/>
      <c r="U230" s="36">
        <f>Table24[[#This Row],[WagesPercent]]+Table24[[#This Row],[FoodCostPercent]]</f>
        <v>0.53409772789932042</v>
      </c>
      <c r="V230" s="36"/>
    </row>
    <row r="231" spans="1:22" x14ac:dyDescent="0.25">
      <c r="A231" s="20">
        <v>230</v>
      </c>
      <c r="B231" s="21" t="s">
        <v>93</v>
      </c>
      <c r="C231" s="21" t="s">
        <v>87</v>
      </c>
      <c r="D231" s="6" t="s">
        <v>94</v>
      </c>
      <c r="E231" s="6">
        <v>3804015</v>
      </c>
      <c r="F231" s="6" t="s">
        <v>19</v>
      </c>
      <c r="G231" s="6" t="s">
        <v>20</v>
      </c>
      <c r="H231" s="5" t="s">
        <v>41</v>
      </c>
      <c r="I231" s="23">
        <v>13348.05</v>
      </c>
      <c r="J231" s="23">
        <v>17153.490000000002</v>
      </c>
      <c r="K231" s="23">
        <v>833</v>
      </c>
      <c r="L231" s="23"/>
      <c r="M231" s="23">
        <f>3127.21+31.02</f>
        <v>3158.23</v>
      </c>
      <c r="N231" s="23">
        <v>0</v>
      </c>
      <c r="O231" s="23">
        <f>+Table24[[#This Row],[FoodcostBlueline]]+Table24[[#This Row],[Pepsico]]</f>
        <v>3158.23</v>
      </c>
      <c r="P231" s="24">
        <f t="shared" si="14"/>
        <v>0.23660609602151628</v>
      </c>
      <c r="Q231" s="24"/>
      <c r="R231" s="23">
        <v>3551.68</v>
      </c>
      <c r="S231" s="25">
        <f t="shared" si="15"/>
        <v>0.26608231164851798</v>
      </c>
      <c r="T231" s="36"/>
      <c r="U231" s="36">
        <f>Table24[[#This Row],[WagesPercent]]+Table24[[#This Row],[FoodCostPercent]]</f>
        <v>0.5026884076700342</v>
      </c>
      <c r="V231" s="36"/>
    </row>
    <row r="232" spans="1:22" x14ac:dyDescent="0.25">
      <c r="A232" s="20">
        <v>231</v>
      </c>
      <c r="B232" s="21" t="s">
        <v>93</v>
      </c>
      <c r="C232" s="21" t="s">
        <v>87</v>
      </c>
      <c r="D232" s="6" t="s">
        <v>94</v>
      </c>
      <c r="E232" s="22">
        <v>3804016</v>
      </c>
      <c r="F232" s="22" t="s">
        <v>21</v>
      </c>
      <c r="G232" s="22" t="s">
        <v>22</v>
      </c>
      <c r="H232" s="14" t="s">
        <v>40</v>
      </c>
      <c r="I232" s="23">
        <v>13190.34</v>
      </c>
      <c r="J232" s="23">
        <v>15499.63</v>
      </c>
      <c r="K232" s="23">
        <v>755</v>
      </c>
      <c r="L232" s="23"/>
      <c r="M232" s="23">
        <v>3398.85</v>
      </c>
      <c r="N232" s="23">
        <v>0</v>
      </c>
      <c r="O232" s="23">
        <f>+Table24[[#This Row],[FoodcostBlueline]]+Table24[[#This Row],[Pepsico]]</f>
        <v>3398.85</v>
      </c>
      <c r="P232" s="24">
        <f t="shared" si="14"/>
        <v>0.25767720923039134</v>
      </c>
      <c r="Q232" s="24"/>
      <c r="R232" s="23">
        <v>2536.6</v>
      </c>
      <c r="S232" s="25">
        <f t="shared" si="15"/>
        <v>0.19230740071901103</v>
      </c>
      <c r="T232" s="36"/>
      <c r="U232" s="36">
        <f>Table24[[#This Row],[WagesPercent]]+Table24[[#This Row],[FoodCostPercent]]</f>
        <v>0.44998460994940237</v>
      </c>
      <c r="V232" s="36"/>
    </row>
    <row r="233" spans="1:22" x14ac:dyDescent="0.25">
      <c r="A233" s="20">
        <v>232</v>
      </c>
      <c r="B233" s="21" t="s">
        <v>93</v>
      </c>
      <c r="C233" s="21" t="s">
        <v>87</v>
      </c>
      <c r="D233" s="6" t="s">
        <v>94</v>
      </c>
      <c r="E233" s="6">
        <v>3804017</v>
      </c>
      <c r="F233" s="6" t="s">
        <v>23</v>
      </c>
      <c r="G233" s="6" t="s">
        <v>22</v>
      </c>
      <c r="H233" s="5" t="s">
        <v>40</v>
      </c>
      <c r="I233" s="23">
        <v>18595.04</v>
      </c>
      <c r="J233" s="23">
        <v>23362.78</v>
      </c>
      <c r="K233" s="23">
        <v>1163</v>
      </c>
      <c r="L233" s="23"/>
      <c r="M233" s="23">
        <f>3804.55-6.44</f>
        <v>3798.11</v>
      </c>
      <c r="N233" s="23">
        <v>0</v>
      </c>
      <c r="O233" s="23">
        <f>+Table24[[#This Row],[FoodcostBlueline]]+Table24[[#This Row],[Pepsico]]</f>
        <v>3798.11</v>
      </c>
      <c r="P233" s="24">
        <f t="shared" si="14"/>
        <v>0.20425393008027948</v>
      </c>
      <c r="Q233" s="24"/>
      <c r="R233" s="23">
        <v>4111.57</v>
      </c>
      <c r="S233" s="25">
        <f t="shared" si="15"/>
        <v>0.22111111350123472</v>
      </c>
      <c r="T233" s="36"/>
      <c r="U233" s="36">
        <f>Table24[[#This Row],[WagesPercent]]+Table24[[#This Row],[FoodCostPercent]]</f>
        <v>0.42536504358151417</v>
      </c>
      <c r="V233" s="36"/>
    </row>
    <row r="234" spans="1:22" x14ac:dyDescent="0.25">
      <c r="A234" s="20">
        <v>233</v>
      </c>
      <c r="B234" s="21" t="s">
        <v>93</v>
      </c>
      <c r="C234" s="21" t="s">
        <v>87</v>
      </c>
      <c r="D234" s="6" t="s">
        <v>94</v>
      </c>
      <c r="E234" s="22">
        <v>3804018</v>
      </c>
      <c r="F234" s="22" t="s">
        <v>24</v>
      </c>
      <c r="G234" s="22" t="s">
        <v>20</v>
      </c>
      <c r="H234" s="14" t="s">
        <v>41</v>
      </c>
      <c r="I234" s="47">
        <v>19095.28</v>
      </c>
      <c r="J234" s="23">
        <v>17908.66</v>
      </c>
      <c r="K234" s="23">
        <v>1092</v>
      </c>
      <c r="L234" s="23"/>
      <c r="M234" s="23">
        <v>4959.59</v>
      </c>
      <c r="N234" s="23">
        <v>404.35</v>
      </c>
      <c r="O234" s="23">
        <f>+Table24[[#This Row],[FoodcostBlueline]]+Table24[[#This Row],[Pepsico]]</f>
        <v>5363.9400000000005</v>
      </c>
      <c r="P234" s="24">
        <f t="shared" si="14"/>
        <v>0.28090397208105883</v>
      </c>
      <c r="Q234" s="24"/>
      <c r="R234" s="23">
        <v>3832.58</v>
      </c>
      <c r="S234" s="25">
        <f t="shared" si="15"/>
        <v>0.20070823784725861</v>
      </c>
      <c r="T234" s="36"/>
      <c r="U234" s="36">
        <f>Table24[[#This Row],[WagesPercent]]+Table24[[#This Row],[FoodCostPercent]]</f>
        <v>0.48161220992831744</v>
      </c>
      <c r="V234" s="36"/>
    </row>
    <row r="235" spans="1:22" x14ac:dyDescent="0.25">
      <c r="A235" s="20">
        <v>234</v>
      </c>
      <c r="B235" s="21" t="s">
        <v>93</v>
      </c>
      <c r="C235" s="21" t="s">
        <v>87</v>
      </c>
      <c r="D235" s="6" t="s">
        <v>94</v>
      </c>
      <c r="E235" s="22">
        <v>3804019</v>
      </c>
      <c r="F235" s="6" t="s">
        <v>25</v>
      </c>
      <c r="G235" s="6" t="s">
        <v>20</v>
      </c>
      <c r="H235" s="5" t="s">
        <v>41</v>
      </c>
      <c r="I235" s="23">
        <v>11917.09</v>
      </c>
      <c r="J235" s="23">
        <v>12102.09</v>
      </c>
      <c r="K235" s="23">
        <v>716</v>
      </c>
      <c r="L235" s="23"/>
      <c r="M235" s="23">
        <v>3078.05</v>
      </c>
      <c r="N235" s="23">
        <v>0</v>
      </c>
      <c r="O235" s="23">
        <f>+Table24[[#This Row],[FoodcostBlueline]]+Table24[[#This Row],[Pepsico]]</f>
        <v>3078.05</v>
      </c>
      <c r="P235" s="24">
        <f t="shared" si="14"/>
        <v>0.25828872652635837</v>
      </c>
      <c r="Q235" s="24"/>
      <c r="R235" s="23">
        <v>2930.6</v>
      </c>
      <c r="S235" s="25">
        <f t="shared" si="15"/>
        <v>0.24591573949680667</v>
      </c>
      <c r="T235" s="36"/>
      <c r="U235" s="36">
        <f>Table24[[#This Row],[WagesPercent]]+Table24[[#This Row],[FoodCostPercent]]</f>
        <v>0.50420446602316504</v>
      </c>
      <c r="V235" s="36"/>
    </row>
    <row r="236" spans="1:22" x14ac:dyDescent="0.25">
      <c r="A236" s="20">
        <v>235</v>
      </c>
      <c r="B236" s="21" t="s">
        <v>93</v>
      </c>
      <c r="C236" s="21" t="s">
        <v>87</v>
      </c>
      <c r="D236" s="6" t="s">
        <v>94</v>
      </c>
      <c r="E236" s="22">
        <v>3804020</v>
      </c>
      <c r="F236" s="22" t="s">
        <v>26</v>
      </c>
      <c r="G236" s="22" t="s">
        <v>22</v>
      </c>
      <c r="H236" s="14" t="s">
        <v>40</v>
      </c>
      <c r="I236" s="23">
        <v>11577.52</v>
      </c>
      <c r="J236" s="23">
        <v>13462.15</v>
      </c>
      <c r="K236" s="23">
        <v>672</v>
      </c>
      <c r="L236" s="23"/>
      <c r="M236" s="23">
        <v>3094.65</v>
      </c>
      <c r="N236" s="23">
        <v>226.03</v>
      </c>
      <c r="O236" s="23">
        <f>+Table24[[#This Row],[FoodcostBlueline]]+Table24[[#This Row],[Pepsico]]</f>
        <v>3320.6800000000003</v>
      </c>
      <c r="P236" s="24">
        <f t="shared" si="14"/>
        <v>0.28682135725094843</v>
      </c>
      <c r="Q236" s="24"/>
      <c r="R236" s="23">
        <v>2284.8200000000002</v>
      </c>
      <c r="S236" s="25">
        <f t="shared" si="15"/>
        <v>0.19734969147105771</v>
      </c>
      <c r="T236" s="36"/>
      <c r="U236" s="36">
        <f>Table24[[#This Row],[WagesPercent]]+Table24[[#This Row],[FoodCostPercent]]</f>
        <v>0.48417104872200611</v>
      </c>
      <c r="V236" s="36"/>
    </row>
    <row r="237" spans="1:22" x14ac:dyDescent="0.25">
      <c r="A237" s="20">
        <v>236</v>
      </c>
      <c r="B237" s="21" t="s">
        <v>93</v>
      </c>
      <c r="C237" s="21" t="s">
        <v>87</v>
      </c>
      <c r="D237" s="6" t="s">
        <v>94</v>
      </c>
      <c r="E237" s="22">
        <v>3804021</v>
      </c>
      <c r="F237" s="6" t="s">
        <v>27</v>
      </c>
      <c r="G237" s="6" t="s">
        <v>22</v>
      </c>
      <c r="H237" s="5" t="s">
        <v>40</v>
      </c>
      <c r="I237" s="23">
        <v>22821.759999999998</v>
      </c>
      <c r="J237" s="23">
        <v>30142.28</v>
      </c>
      <c r="K237" s="23">
        <v>1350</v>
      </c>
      <c r="L237" s="23"/>
      <c r="M237" s="23">
        <v>5819.93</v>
      </c>
      <c r="N237" s="23">
        <v>0</v>
      </c>
      <c r="O237" s="23">
        <f>+Table24[[#This Row],[FoodcostBlueline]]+Table24[[#This Row],[Pepsico]]</f>
        <v>5819.93</v>
      </c>
      <c r="P237" s="24">
        <f t="shared" si="14"/>
        <v>0.25501670335679633</v>
      </c>
      <c r="Q237" s="24"/>
      <c r="R237" s="23">
        <v>4954.09</v>
      </c>
      <c r="S237" s="25">
        <f t="shared" si="15"/>
        <v>0.21707747342886791</v>
      </c>
      <c r="T237" s="36"/>
      <c r="U237" s="36">
        <f>Table24[[#This Row],[WagesPercent]]+Table24[[#This Row],[FoodCostPercent]]</f>
        <v>0.47209417678566423</v>
      </c>
      <c r="V237" s="36"/>
    </row>
    <row r="238" spans="1:22" x14ac:dyDescent="0.25">
      <c r="A238" s="20">
        <v>237</v>
      </c>
      <c r="B238" s="21" t="s">
        <v>93</v>
      </c>
      <c r="C238" s="21" t="s">
        <v>87</v>
      </c>
      <c r="D238" s="6" t="s">
        <v>94</v>
      </c>
      <c r="E238" s="22">
        <v>3804022</v>
      </c>
      <c r="F238" s="22" t="s">
        <v>28</v>
      </c>
      <c r="G238" s="22" t="s">
        <v>22</v>
      </c>
      <c r="H238" s="14" t="s">
        <v>40</v>
      </c>
      <c r="I238" s="23">
        <v>12572.5</v>
      </c>
      <c r="J238" s="23">
        <v>15132.4</v>
      </c>
      <c r="K238" s="23">
        <v>701</v>
      </c>
      <c r="L238" s="23"/>
      <c r="M238" s="23">
        <v>3304.51</v>
      </c>
      <c r="N238" s="23">
        <v>425.76</v>
      </c>
      <c r="O238" s="23">
        <f>+Table24[[#This Row],[FoodcostBlueline]]+Table24[[#This Row],[Pepsico]]</f>
        <v>3730.2700000000004</v>
      </c>
      <c r="P238" s="24">
        <f t="shared" si="14"/>
        <v>0.29670073573275008</v>
      </c>
      <c r="Q238" s="24"/>
      <c r="R238" s="23">
        <v>2543.73</v>
      </c>
      <c r="S238" s="25">
        <f t="shared" si="15"/>
        <v>0.2023249154901571</v>
      </c>
      <c r="T238" s="36"/>
      <c r="U238" s="36">
        <f>Table24[[#This Row],[WagesPercent]]+Table24[[#This Row],[FoodCostPercent]]</f>
        <v>0.49902565122290721</v>
      </c>
      <c r="V238" s="36"/>
    </row>
    <row r="239" spans="1:22" x14ac:dyDescent="0.25">
      <c r="A239" s="20">
        <v>238</v>
      </c>
      <c r="B239" s="21" t="s">
        <v>93</v>
      </c>
      <c r="C239" s="21" t="s">
        <v>87</v>
      </c>
      <c r="D239" s="6" t="s">
        <v>94</v>
      </c>
      <c r="E239" s="22">
        <v>3804023</v>
      </c>
      <c r="F239" s="6" t="s">
        <v>29</v>
      </c>
      <c r="G239" s="6" t="s">
        <v>22</v>
      </c>
      <c r="H239" s="5" t="s">
        <v>40</v>
      </c>
      <c r="I239" s="23">
        <v>15441.09</v>
      </c>
      <c r="J239" s="23">
        <v>16632.64</v>
      </c>
      <c r="K239" s="23">
        <v>903</v>
      </c>
      <c r="L239" s="23"/>
      <c r="M239" s="23">
        <v>3268.34</v>
      </c>
      <c r="N239" s="23">
        <v>0</v>
      </c>
      <c r="O239" s="23">
        <f>+Table24[[#This Row],[FoodcostBlueline]]+Table24[[#This Row],[Pepsico]]</f>
        <v>3268.34</v>
      </c>
      <c r="P239" s="24">
        <f t="shared" si="14"/>
        <v>0.21166510913413497</v>
      </c>
      <c r="Q239" s="24"/>
      <c r="R239" s="23">
        <v>2958.6</v>
      </c>
      <c r="S239" s="25">
        <f t="shared" si="15"/>
        <v>0.19160564442018016</v>
      </c>
      <c r="T239" s="36"/>
      <c r="U239" s="36">
        <f>Table24[[#This Row],[WagesPercent]]+Table24[[#This Row],[FoodCostPercent]]</f>
        <v>0.40327075355431513</v>
      </c>
      <c r="V239" s="36"/>
    </row>
    <row r="240" spans="1:22" x14ac:dyDescent="0.25">
      <c r="A240" s="20">
        <v>239</v>
      </c>
      <c r="B240" s="21" t="s">
        <v>93</v>
      </c>
      <c r="C240" s="21" t="s">
        <v>87</v>
      </c>
      <c r="D240" s="6" t="s">
        <v>94</v>
      </c>
      <c r="E240" s="22">
        <v>3804024</v>
      </c>
      <c r="F240" s="22" t="s">
        <v>30</v>
      </c>
      <c r="G240" s="22" t="s">
        <v>20</v>
      </c>
      <c r="H240" s="14" t="s">
        <v>41</v>
      </c>
      <c r="I240" s="23">
        <v>11861.62</v>
      </c>
      <c r="J240" s="23">
        <v>12114.11</v>
      </c>
      <c r="K240" s="23">
        <v>729</v>
      </c>
      <c r="L240" s="23"/>
      <c r="M240" s="23">
        <v>3312.93</v>
      </c>
      <c r="N240" s="23">
        <v>305.2</v>
      </c>
      <c r="O240" s="23">
        <f>+Table24[[#This Row],[FoodcostBlueline]]+Table24[[#This Row],[Pepsico]]</f>
        <v>3618.1299999999997</v>
      </c>
      <c r="P240" s="24">
        <f t="shared" si="14"/>
        <v>0.30502831822297455</v>
      </c>
      <c r="Q240" s="24"/>
      <c r="R240" s="23">
        <f>3315.54+69.23</f>
        <v>3384.77</v>
      </c>
      <c r="S240" s="25">
        <f t="shared" si="15"/>
        <v>0.2853547829048646</v>
      </c>
      <c r="T240" s="36"/>
      <c r="U240" s="36">
        <f>Table24[[#This Row],[WagesPercent]]+Table24[[#This Row],[FoodCostPercent]]</f>
        <v>0.59038310112783909</v>
      </c>
      <c r="V240" s="36"/>
    </row>
    <row r="241" spans="1:22" x14ac:dyDescent="0.25">
      <c r="A241" s="20">
        <v>240</v>
      </c>
      <c r="B241" s="21" t="s">
        <v>93</v>
      </c>
      <c r="C241" s="21" t="s">
        <v>87</v>
      </c>
      <c r="D241" s="6" t="s">
        <v>94</v>
      </c>
      <c r="E241" s="22">
        <v>3804025</v>
      </c>
      <c r="F241" s="6" t="s">
        <v>31</v>
      </c>
      <c r="G241" s="6" t="s">
        <v>20</v>
      </c>
      <c r="H241" s="5" t="s">
        <v>41</v>
      </c>
      <c r="I241" s="23">
        <v>25323.18</v>
      </c>
      <c r="J241" s="23">
        <v>27646.33</v>
      </c>
      <c r="K241" s="23">
        <v>1575</v>
      </c>
      <c r="L241" s="23"/>
      <c r="M241" s="23">
        <f>6096.21+31.02</f>
        <v>6127.2300000000005</v>
      </c>
      <c r="N241" s="23">
        <v>0</v>
      </c>
      <c r="O241" s="23">
        <f>+Table24[[#This Row],[FoodcostBlueline]]+Table24[[#This Row],[Pepsico]]</f>
        <v>6127.2300000000005</v>
      </c>
      <c r="P241" s="24">
        <f t="shared" si="14"/>
        <v>0.24196131765441783</v>
      </c>
      <c r="Q241" s="24"/>
      <c r="R241" s="23">
        <v>5160.82</v>
      </c>
      <c r="S241" s="25">
        <f t="shared" si="15"/>
        <v>0.20379825914438865</v>
      </c>
      <c r="T241" s="36"/>
      <c r="U241" s="36">
        <f>Table24[[#This Row],[WagesPercent]]+Table24[[#This Row],[FoodCostPercent]]</f>
        <v>0.44575957679880651</v>
      </c>
      <c r="V241" s="36"/>
    </row>
    <row r="242" spans="1:22" x14ac:dyDescent="0.25">
      <c r="A242" s="20">
        <v>241</v>
      </c>
      <c r="B242" s="21" t="s">
        <v>93</v>
      </c>
      <c r="C242" s="21" t="s">
        <v>87</v>
      </c>
      <c r="D242" s="6" t="s">
        <v>94</v>
      </c>
      <c r="E242" s="22">
        <v>3804026</v>
      </c>
      <c r="F242" s="22" t="s">
        <v>32</v>
      </c>
      <c r="G242" s="22" t="s">
        <v>79</v>
      </c>
      <c r="H242" s="15" t="s">
        <v>41</v>
      </c>
      <c r="I242" s="23">
        <v>12615.97</v>
      </c>
      <c r="J242" s="23">
        <v>11678.97</v>
      </c>
      <c r="K242" s="23">
        <v>754</v>
      </c>
      <c r="L242" s="23"/>
      <c r="M242" s="23">
        <f>-12.35-10.71+3676.21</f>
        <v>3653.15</v>
      </c>
      <c r="N242" s="23">
        <v>272.55</v>
      </c>
      <c r="O242" s="23">
        <f>+Table24[[#This Row],[FoodcostBlueline]]+Table24[[#This Row],[Pepsico]]</f>
        <v>3925.7000000000003</v>
      </c>
      <c r="P242" s="24">
        <f t="shared" si="14"/>
        <v>0.31116909758028916</v>
      </c>
      <c r="Q242" s="24"/>
      <c r="R242" s="23">
        <v>3760.4</v>
      </c>
      <c r="S242" s="25">
        <f t="shared" si="15"/>
        <v>0.29806665678501137</v>
      </c>
      <c r="T242" s="36"/>
      <c r="U242" s="36">
        <f>Table24[[#This Row],[WagesPercent]]+Table24[[#This Row],[FoodCostPercent]]</f>
        <v>0.60923575436530053</v>
      </c>
      <c r="V242" s="36"/>
    </row>
    <row r="243" spans="1:22" x14ac:dyDescent="0.25">
      <c r="A243" s="20">
        <v>242</v>
      </c>
      <c r="B243" s="21" t="s">
        <v>93</v>
      </c>
      <c r="C243" s="21" t="s">
        <v>87</v>
      </c>
      <c r="D243" s="6" t="s">
        <v>94</v>
      </c>
      <c r="E243" s="22">
        <v>3804027</v>
      </c>
      <c r="F243" s="6" t="s">
        <v>33</v>
      </c>
      <c r="G243" s="5" t="s">
        <v>43</v>
      </c>
      <c r="H243" s="5" t="s">
        <v>41</v>
      </c>
      <c r="I243" s="23">
        <v>17506.09</v>
      </c>
      <c r="J243" s="23">
        <v>11107.83</v>
      </c>
      <c r="K243" s="23">
        <v>1178</v>
      </c>
      <c r="L243" s="23"/>
      <c r="M243" s="23">
        <v>4028.51</v>
      </c>
      <c r="N243" s="23">
        <v>282.33</v>
      </c>
      <c r="O243" s="23">
        <f>+Table24[[#This Row],[FoodcostBlueline]]+Table24[[#This Row],[Pepsico]]</f>
        <v>4310.84</v>
      </c>
      <c r="P243" s="24">
        <f t="shared" si="14"/>
        <v>0.24624801997476309</v>
      </c>
      <c r="Q243" s="24"/>
      <c r="R243" s="23">
        <f>1600+1928.45+277</f>
        <v>3805.45</v>
      </c>
      <c r="S243" s="25">
        <f t="shared" si="15"/>
        <v>0.21737863794827969</v>
      </c>
      <c r="T243" s="36"/>
      <c r="U243" s="36">
        <f>Table24[[#This Row],[WagesPercent]]+Table24[[#This Row],[FoodCostPercent]]</f>
        <v>0.46362665792304281</v>
      </c>
      <c r="V243" s="36"/>
    </row>
    <row r="244" spans="1:22" x14ac:dyDescent="0.25">
      <c r="A244" s="20">
        <v>243</v>
      </c>
      <c r="B244" s="21" t="s">
        <v>93</v>
      </c>
      <c r="C244" s="21" t="s">
        <v>87</v>
      </c>
      <c r="D244" s="6" t="s">
        <v>94</v>
      </c>
      <c r="E244" s="22">
        <v>3804029</v>
      </c>
      <c r="F244" s="22" t="s">
        <v>34</v>
      </c>
      <c r="G244" s="22" t="s">
        <v>79</v>
      </c>
      <c r="H244" s="14" t="s">
        <v>41</v>
      </c>
      <c r="I244" s="23">
        <v>9384.01</v>
      </c>
      <c r="J244" s="23">
        <v>8509.7199999999993</v>
      </c>
      <c r="K244" s="23">
        <v>581</v>
      </c>
      <c r="L244" s="23"/>
      <c r="M244" s="23">
        <v>2383</v>
      </c>
      <c r="N244" s="23">
        <v>434.31</v>
      </c>
      <c r="O244" s="23">
        <f>+Table24[[#This Row],[FoodcostBlueline]]+Table24[[#This Row],[Pepsico]]</f>
        <v>2817.31</v>
      </c>
      <c r="P244" s="24">
        <f t="shared" si="14"/>
        <v>0.30022453087752465</v>
      </c>
      <c r="Q244" s="24"/>
      <c r="R244" s="23">
        <f>210.81+2370</f>
        <v>2580.81</v>
      </c>
      <c r="S244" s="25">
        <f t="shared" si="15"/>
        <v>0.27502208544108542</v>
      </c>
      <c r="T244" s="36"/>
      <c r="U244" s="36">
        <f>Table24[[#This Row],[WagesPercent]]+Table24[[#This Row],[FoodCostPercent]]</f>
        <v>0.57524661631861007</v>
      </c>
      <c r="V244" s="36"/>
    </row>
    <row r="245" spans="1:22" x14ac:dyDescent="0.25">
      <c r="A245" s="20">
        <v>244</v>
      </c>
      <c r="B245" s="21" t="s">
        <v>93</v>
      </c>
      <c r="C245" s="21" t="s">
        <v>87</v>
      </c>
      <c r="D245" s="6" t="s">
        <v>94</v>
      </c>
      <c r="E245" s="22">
        <v>3804030</v>
      </c>
      <c r="F245" s="6" t="s">
        <v>35</v>
      </c>
      <c r="G245" s="6" t="s">
        <v>5</v>
      </c>
      <c r="H245" s="5" t="s">
        <v>40</v>
      </c>
      <c r="I245" s="23">
        <v>9922.5</v>
      </c>
      <c r="J245" s="23">
        <v>8733.5499999999993</v>
      </c>
      <c r="K245" s="23">
        <v>577</v>
      </c>
      <c r="L245" s="23"/>
      <c r="M245" s="23">
        <v>2464.75</v>
      </c>
      <c r="N245" s="23">
        <v>202.33</v>
      </c>
      <c r="O245" s="23">
        <f>+Table24[[#This Row],[FoodcostBlueline]]+Table24[[#This Row],[Pepsico]]</f>
        <v>2667.08</v>
      </c>
      <c r="P245" s="24">
        <f t="shared" si="14"/>
        <v>0.26879113126732174</v>
      </c>
      <c r="Q245" s="24"/>
      <c r="R245" s="23">
        <v>2479.5700000000002</v>
      </c>
      <c r="S245" s="25">
        <f t="shared" si="15"/>
        <v>0.2498936759889141</v>
      </c>
      <c r="T245" s="36"/>
      <c r="U245" s="36">
        <f>Table24[[#This Row],[WagesPercent]]+Table24[[#This Row],[FoodCostPercent]]</f>
        <v>0.51868480725623578</v>
      </c>
      <c r="V245" s="36"/>
    </row>
    <row r="246" spans="1:22" x14ac:dyDescent="0.25">
      <c r="A246" s="20">
        <v>245</v>
      </c>
      <c r="B246" s="21" t="s">
        <v>93</v>
      </c>
      <c r="C246" s="21" t="s">
        <v>87</v>
      </c>
      <c r="D246" s="6" t="s">
        <v>94</v>
      </c>
      <c r="E246" s="22">
        <v>3804031</v>
      </c>
      <c r="F246" s="22" t="s">
        <v>36</v>
      </c>
      <c r="G246" s="22" t="s">
        <v>5</v>
      </c>
      <c r="H246" s="14" t="s">
        <v>40</v>
      </c>
      <c r="I246" s="23">
        <v>10867.52</v>
      </c>
      <c r="J246" s="23">
        <v>8848.4500000000007</v>
      </c>
      <c r="K246" s="23">
        <v>670</v>
      </c>
      <c r="L246" s="23"/>
      <c r="M246" s="23">
        <v>2968.17</v>
      </c>
      <c r="N246" s="23">
        <f>328.39-67.92</f>
        <v>260.46999999999997</v>
      </c>
      <c r="O246" s="23">
        <f>+Table24[[#This Row],[FoodcostBlueline]]+Table24[[#This Row],[Pepsico]]</f>
        <v>3228.64</v>
      </c>
      <c r="P246" s="24">
        <f t="shared" si="14"/>
        <v>0.29709078060127792</v>
      </c>
      <c r="Q246" s="24"/>
      <c r="R246" s="37">
        <v>3360.56</v>
      </c>
      <c r="S246" s="25">
        <f t="shared" si="15"/>
        <v>0.30922970466122907</v>
      </c>
      <c r="T246" s="36"/>
      <c r="U246" s="36">
        <f>Table24[[#This Row],[WagesPercent]]+Table24[[#This Row],[FoodCostPercent]]</f>
        <v>0.60632048526250704</v>
      </c>
      <c r="V246" s="36"/>
    </row>
    <row r="247" spans="1:22" x14ac:dyDescent="0.25">
      <c r="A247" s="20">
        <v>246</v>
      </c>
      <c r="B247" s="21" t="s">
        <v>93</v>
      </c>
      <c r="C247" s="21" t="s">
        <v>87</v>
      </c>
      <c r="D247" s="6" t="s">
        <v>94</v>
      </c>
      <c r="E247" s="22">
        <v>3804032</v>
      </c>
      <c r="F247" s="6" t="s">
        <v>37</v>
      </c>
      <c r="G247" s="6" t="s">
        <v>5</v>
      </c>
      <c r="H247" s="5" t="s">
        <v>40</v>
      </c>
      <c r="I247" s="23">
        <v>8196.58</v>
      </c>
      <c r="J247" s="23">
        <v>6125.64</v>
      </c>
      <c r="K247" s="23">
        <v>505</v>
      </c>
      <c r="L247" s="23"/>
      <c r="M247" s="23">
        <v>2554.77</v>
      </c>
      <c r="N247" s="23">
        <v>199.16</v>
      </c>
      <c r="O247" s="23">
        <f>+Table24[[#This Row],[FoodcostBlueline]]+Table24[[#This Row],[Pepsico]]</f>
        <v>2753.93</v>
      </c>
      <c r="P247" s="24">
        <f t="shared" si="14"/>
        <v>0.33598525238575111</v>
      </c>
      <c r="Q247" s="24"/>
      <c r="R247" s="23">
        <f>200+1350+850</f>
        <v>2400</v>
      </c>
      <c r="S247" s="25">
        <f t="shared" si="15"/>
        <v>0.29280504795902684</v>
      </c>
      <c r="T247" s="36"/>
      <c r="U247" s="36">
        <f>Table24[[#This Row],[WagesPercent]]+Table24[[#This Row],[FoodCostPercent]]</f>
        <v>0.6287903003447779</v>
      </c>
      <c r="V247" s="36"/>
    </row>
    <row r="248" spans="1:22" x14ac:dyDescent="0.25">
      <c r="A248" s="20">
        <v>247</v>
      </c>
      <c r="B248" s="21" t="s">
        <v>93</v>
      </c>
      <c r="C248" s="21" t="s">
        <v>87</v>
      </c>
      <c r="D248" s="6" t="s">
        <v>94</v>
      </c>
      <c r="E248" s="22">
        <v>3804033</v>
      </c>
      <c r="F248" s="22" t="s">
        <v>38</v>
      </c>
      <c r="G248" s="22" t="s">
        <v>5</v>
      </c>
      <c r="H248" s="14" t="s">
        <v>40</v>
      </c>
      <c r="I248" s="23">
        <v>8071.5</v>
      </c>
      <c r="J248" s="23">
        <v>7497.46</v>
      </c>
      <c r="K248" s="23">
        <v>592</v>
      </c>
      <c r="L248" s="23"/>
      <c r="M248" s="23">
        <v>2456.33</v>
      </c>
      <c r="N248" s="23">
        <v>220.66</v>
      </c>
      <c r="O248" s="23">
        <f>+Table24[[#This Row],[FoodcostBlueline]]+Table24[[#This Row],[Pepsico]]</f>
        <v>2676.99</v>
      </c>
      <c r="P248" s="24">
        <f t="shared" si="14"/>
        <v>0.3316595428359041</v>
      </c>
      <c r="Q248" s="24"/>
      <c r="R248" s="23">
        <f>165.58+1350+850</f>
        <v>2365.58</v>
      </c>
      <c r="S248" s="25">
        <f t="shared" si="15"/>
        <v>0.29307811435297032</v>
      </c>
      <c r="T248" s="36"/>
      <c r="U248" s="36">
        <f>Table24[[#This Row],[WagesPercent]]+Table24[[#This Row],[FoodCostPercent]]</f>
        <v>0.62473765718887442</v>
      </c>
      <c r="V248" s="36"/>
    </row>
    <row r="249" spans="1:22" x14ac:dyDescent="0.25">
      <c r="A249" s="20">
        <v>248</v>
      </c>
      <c r="B249" s="21" t="s">
        <v>93</v>
      </c>
      <c r="C249" s="21" t="s">
        <v>87</v>
      </c>
      <c r="D249" s="6" t="s">
        <v>94</v>
      </c>
      <c r="E249" s="22">
        <v>3804034</v>
      </c>
      <c r="F249" s="6" t="s">
        <v>53</v>
      </c>
      <c r="G249" s="22" t="s">
        <v>79</v>
      </c>
      <c r="H249" s="5" t="s">
        <v>41</v>
      </c>
      <c r="I249" s="23">
        <v>7953.96</v>
      </c>
      <c r="J249" s="23">
        <v>0</v>
      </c>
      <c r="K249" s="23">
        <v>460</v>
      </c>
      <c r="L249" s="23"/>
      <c r="M249" s="23">
        <f>2233.49-21.9</f>
        <v>2211.5899999999997</v>
      </c>
      <c r="N249" s="23">
        <v>0</v>
      </c>
      <c r="O249" s="23">
        <f>+Table24[[#This Row],[FoodcostBlueline]]+Table24[[#This Row],[Pepsico]]</f>
        <v>2211.5899999999997</v>
      </c>
      <c r="P249" s="24">
        <f t="shared" si="14"/>
        <v>0.27804892154348271</v>
      </c>
      <c r="Q249" s="24"/>
      <c r="R249" s="23">
        <f>2400+611.67</f>
        <v>3011.67</v>
      </c>
      <c r="S249" s="25">
        <f t="shared" si="15"/>
        <v>0.37863781060000301</v>
      </c>
      <c r="T249" s="36"/>
      <c r="U249" s="36">
        <f>Table24[[#This Row],[WagesPercent]]+Table24[[#This Row],[FoodCostPercent]]</f>
        <v>0.65668673214348572</v>
      </c>
      <c r="V249" s="36"/>
    </row>
    <row r="250" spans="1:22" x14ac:dyDescent="0.25">
      <c r="A250" s="20">
        <v>249</v>
      </c>
      <c r="B250" s="21" t="s">
        <v>95</v>
      </c>
      <c r="C250" s="21" t="s">
        <v>96</v>
      </c>
      <c r="D250" s="6" t="s">
        <v>97</v>
      </c>
      <c r="E250" s="22">
        <v>3804001</v>
      </c>
      <c r="F250" s="22" t="s">
        <v>4</v>
      </c>
      <c r="G250" s="22" t="s">
        <v>5</v>
      </c>
      <c r="H250" s="5" t="s">
        <v>40</v>
      </c>
      <c r="I250" s="23">
        <v>27781.87</v>
      </c>
      <c r="J250" s="23">
        <v>26699.9</v>
      </c>
      <c r="K250" s="23">
        <v>1837</v>
      </c>
      <c r="L250" s="23"/>
      <c r="M250" s="23">
        <f>7418.62-15-111</f>
        <v>7292.62</v>
      </c>
      <c r="N250" s="23">
        <v>505.26</v>
      </c>
      <c r="O250" s="23">
        <f>+Table24[[#This Row],[FoodcostBlueline]]+Table24[[#This Row],[Pepsico]]</f>
        <v>7797.88</v>
      </c>
      <c r="P250" s="24">
        <f t="shared" si="14"/>
        <v>0.2806823298791622</v>
      </c>
      <c r="Q250" s="24"/>
      <c r="R250" s="23">
        <f>5412.44+165.58+1730</f>
        <v>7308.0199999999995</v>
      </c>
      <c r="S250" s="25">
        <f t="shared" si="15"/>
        <v>0.263049967478791</v>
      </c>
      <c r="T250" s="36"/>
      <c r="U250" s="36">
        <f>Table24[[#This Row],[WagesPercent]]+Table24[[#This Row],[FoodCostPercent]]</f>
        <v>0.54373229735795325</v>
      </c>
      <c r="V250" s="36"/>
    </row>
    <row r="251" spans="1:22" x14ac:dyDescent="0.25">
      <c r="A251" s="20">
        <v>250</v>
      </c>
      <c r="B251" s="21" t="s">
        <v>95</v>
      </c>
      <c r="C251" s="21" t="s">
        <v>96</v>
      </c>
      <c r="D251" s="6" t="s">
        <v>97</v>
      </c>
      <c r="E251" s="22">
        <v>3804002</v>
      </c>
      <c r="F251" s="22" t="s">
        <v>6</v>
      </c>
      <c r="G251" s="22" t="s">
        <v>7</v>
      </c>
      <c r="H251" s="14" t="s">
        <v>41</v>
      </c>
      <c r="I251" s="23">
        <v>14454.19</v>
      </c>
      <c r="J251" s="23">
        <v>14107.86</v>
      </c>
      <c r="K251" s="23">
        <v>1115</v>
      </c>
      <c r="L251" s="23"/>
      <c r="M251" s="23">
        <f>3386.18-8-39+387.81+165</f>
        <v>3891.99</v>
      </c>
      <c r="N251" s="23">
        <v>451.45</v>
      </c>
      <c r="O251" s="23">
        <f>+Table24[[#This Row],[FoodcostBlueline]]+Table24[[#This Row],[Pepsico]]</f>
        <v>4343.4399999999996</v>
      </c>
      <c r="P251" s="24">
        <f t="shared" si="14"/>
        <v>0.30049694932749599</v>
      </c>
      <c r="Q251" s="24"/>
      <c r="R251" s="23">
        <v>3308.24</v>
      </c>
      <c r="S251" s="25">
        <f t="shared" si="15"/>
        <v>0.22887757805868053</v>
      </c>
      <c r="T251" s="36"/>
      <c r="U251" s="36">
        <f>Table24[[#This Row],[WagesPercent]]+Table24[[#This Row],[FoodCostPercent]]</f>
        <v>0.52937452738617652</v>
      </c>
      <c r="V251" s="36"/>
    </row>
    <row r="252" spans="1:22" x14ac:dyDescent="0.25">
      <c r="A252" s="20">
        <v>251</v>
      </c>
      <c r="B252" s="21" t="s">
        <v>95</v>
      </c>
      <c r="C252" s="21" t="s">
        <v>96</v>
      </c>
      <c r="D252" s="6" t="s">
        <v>97</v>
      </c>
      <c r="E252" s="22">
        <v>3804003</v>
      </c>
      <c r="F252" s="22" t="s">
        <v>8</v>
      </c>
      <c r="G252" s="22" t="s">
        <v>7</v>
      </c>
      <c r="H252" s="5" t="s">
        <v>41</v>
      </c>
      <c r="I252" s="23">
        <v>11830.78</v>
      </c>
      <c r="J252" s="23">
        <v>7257.94</v>
      </c>
      <c r="K252" s="23">
        <v>749</v>
      </c>
      <c r="L252" s="23"/>
      <c r="M252" s="23">
        <f>3288.16-9-71.5</f>
        <v>3207.66</v>
      </c>
      <c r="N252" s="23">
        <v>0</v>
      </c>
      <c r="O252" s="23">
        <f>+Table24[[#This Row],[FoodcostBlueline]]+Table24[[#This Row],[Pepsico]]</f>
        <v>3207.66</v>
      </c>
      <c r="P252" s="24">
        <f t="shared" si="14"/>
        <v>0.27112836178172528</v>
      </c>
      <c r="Q252" s="24"/>
      <c r="R252" s="23">
        <f>2602.13+50</f>
        <v>2652.13</v>
      </c>
      <c r="S252" s="25">
        <f t="shared" si="15"/>
        <v>0.22417203261323429</v>
      </c>
      <c r="T252" s="36"/>
      <c r="U252" s="36">
        <f>Table24[[#This Row],[WagesPercent]]+Table24[[#This Row],[FoodCostPercent]]</f>
        <v>0.49530039439495954</v>
      </c>
      <c r="V252" s="36"/>
    </row>
    <row r="253" spans="1:22" x14ac:dyDescent="0.25">
      <c r="A253" s="20">
        <v>252</v>
      </c>
      <c r="B253" s="21" t="s">
        <v>95</v>
      </c>
      <c r="C253" s="21" t="s">
        <v>96</v>
      </c>
      <c r="D253" s="6" t="s">
        <v>97</v>
      </c>
      <c r="E253" s="22">
        <v>3804004</v>
      </c>
      <c r="F253" s="22" t="s">
        <v>9</v>
      </c>
      <c r="G253" s="22" t="s">
        <v>7</v>
      </c>
      <c r="H253" s="14" t="s">
        <v>41</v>
      </c>
      <c r="I253" s="23">
        <v>18103.599999999999</v>
      </c>
      <c r="J253" s="23">
        <v>17021.77</v>
      </c>
      <c r="K253" s="23">
        <v>1248</v>
      </c>
      <c r="L253" s="23"/>
      <c r="M253" s="23">
        <f>4219.39-12-74.5</f>
        <v>4132.8900000000003</v>
      </c>
      <c r="N253" s="23">
        <v>666.65</v>
      </c>
      <c r="O253" s="23">
        <f>+Table24[[#This Row],[FoodcostBlueline]]+Table24[[#This Row],[Pepsico]]</f>
        <v>4799.54</v>
      </c>
      <c r="P253" s="24">
        <f t="shared" si="14"/>
        <v>0.26511522570096557</v>
      </c>
      <c r="Q253" s="24"/>
      <c r="R253" s="23">
        <v>3413.63</v>
      </c>
      <c r="S253" s="25">
        <f t="shared" si="15"/>
        <v>0.18856083872820878</v>
      </c>
      <c r="T253" s="36"/>
      <c r="U253" s="36">
        <f>Table24[[#This Row],[WagesPercent]]+Table24[[#This Row],[FoodCostPercent]]</f>
        <v>0.45367606442917435</v>
      </c>
      <c r="V253" s="36"/>
    </row>
    <row r="254" spans="1:22" x14ac:dyDescent="0.25">
      <c r="A254" s="20">
        <v>253</v>
      </c>
      <c r="B254" s="21" t="s">
        <v>95</v>
      </c>
      <c r="C254" s="21" t="s">
        <v>96</v>
      </c>
      <c r="D254" s="6" t="s">
        <v>97</v>
      </c>
      <c r="E254" s="6">
        <v>3804005</v>
      </c>
      <c r="F254" s="22" t="s">
        <v>10</v>
      </c>
      <c r="G254" s="22" t="s">
        <v>7</v>
      </c>
      <c r="H254" s="5" t="s">
        <v>41</v>
      </c>
      <c r="I254" s="23">
        <v>14457.42</v>
      </c>
      <c r="J254" s="23">
        <v>14269.05</v>
      </c>
      <c r="K254" s="23">
        <v>920</v>
      </c>
      <c r="L254" s="23"/>
      <c r="M254" s="23">
        <f>3192.75-10-76+146.79+60</f>
        <v>3313.54</v>
      </c>
      <c r="N254" s="23">
        <v>0</v>
      </c>
      <c r="O254" s="23">
        <f>+Table24[[#This Row],[FoodcostBlueline]]+Table24[[#This Row],[Pepsico]]</f>
        <v>3313.54</v>
      </c>
      <c r="P254" s="24">
        <f t="shared" si="14"/>
        <v>0.22919303720857526</v>
      </c>
      <c r="Q254" s="24"/>
      <c r="R254" s="23">
        <v>3106.53</v>
      </c>
      <c r="S254" s="25">
        <f t="shared" si="15"/>
        <v>0.21487443817776616</v>
      </c>
      <c r="T254" s="36"/>
      <c r="U254" s="36">
        <f>Table24[[#This Row],[WagesPercent]]+Table24[[#This Row],[FoodCostPercent]]</f>
        <v>0.44406747538634139</v>
      </c>
      <c r="V254" s="36"/>
    </row>
    <row r="255" spans="1:22" x14ac:dyDescent="0.25">
      <c r="A255" s="20">
        <v>254</v>
      </c>
      <c r="B255" s="21" t="s">
        <v>95</v>
      </c>
      <c r="C255" s="21" t="s">
        <v>96</v>
      </c>
      <c r="D255" s="6" t="s">
        <v>97</v>
      </c>
      <c r="E255" s="22">
        <v>3804006</v>
      </c>
      <c r="F255" s="22" t="s">
        <v>11</v>
      </c>
      <c r="G255" s="22" t="s">
        <v>7</v>
      </c>
      <c r="H255" s="14" t="s">
        <v>41</v>
      </c>
      <c r="I255" s="23">
        <v>9125.89</v>
      </c>
      <c r="J255" s="23">
        <v>10902.05</v>
      </c>
      <c r="K255" s="23">
        <v>656</v>
      </c>
      <c r="L255" s="23"/>
      <c r="M255" s="23">
        <f>1739.36-12-40.5</f>
        <v>1686.86</v>
      </c>
      <c r="N255" s="23">
        <v>0</v>
      </c>
      <c r="O255" s="23">
        <f>+Table24[[#This Row],[FoodcostBlueline]]+Table24[[#This Row],[Pepsico]]</f>
        <v>1686.86</v>
      </c>
      <c r="P255" s="24">
        <f t="shared" si="14"/>
        <v>0.18484334130698485</v>
      </c>
      <c r="Q255" s="24"/>
      <c r="R255" s="23">
        <v>2095.88</v>
      </c>
      <c r="S255" s="25">
        <f t="shared" si="15"/>
        <v>0.2296630794366358</v>
      </c>
      <c r="T255" s="36"/>
      <c r="U255" s="36">
        <f>Table24[[#This Row],[WagesPercent]]+Table24[[#This Row],[FoodCostPercent]]</f>
        <v>0.41450642074362065</v>
      </c>
      <c r="V255" s="36"/>
    </row>
    <row r="256" spans="1:22" x14ac:dyDescent="0.25">
      <c r="A256" s="20">
        <v>255</v>
      </c>
      <c r="B256" s="21" t="s">
        <v>95</v>
      </c>
      <c r="C256" s="21" t="s">
        <v>96</v>
      </c>
      <c r="D256" s="6" t="s">
        <v>97</v>
      </c>
      <c r="E256" s="22">
        <v>3804008</v>
      </c>
      <c r="F256" s="22" t="s">
        <v>12</v>
      </c>
      <c r="G256" s="5" t="s">
        <v>42</v>
      </c>
      <c r="H256" s="5" t="s">
        <v>41</v>
      </c>
      <c r="I256" s="23">
        <v>23045.24</v>
      </c>
      <c r="J256" s="23">
        <v>18778.14</v>
      </c>
      <c r="K256" s="23">
        <v>1441</v>
      </c>
      <c r="L256" s="23"/>
      <c r="M256" s="23">
        <f>5186.31-25-97</f>
        <v>5064.3100000000004</v>
      </c>
      <c r="N256" s="23">
        <v>650.39</v>
      </c>
      <c r="O256" s="23">
        <f>+Table24[[#This Row],[FoodcostBlueline]]+Table24[[#This Row],[Pepsico]]</f>
        <v>5714.7000000000007</v>
      </c>
      <c r="P256" s="24">
        <f t="shared" si="14"/>
        <v>0.247977456515966</v>
      </c>
      <c r="Q256" s="24"/>
      <c r="R256" s="23">
        <f>355.68+4988</f>
        <v>5343.68</v>
      </c>
      <c r="S256" s="25">
        <f t="shared" si="15"/>
        <v>0.23187781945425606</v>
      </c>
      <c r="T256" s="36"/>
      <c r="U256" s="36">
        <f>Table24[[#This Row],[WagesPercent]]+Table24[[#This Row],[FoodCostPercent]]</f>
        <v>0.47985527597022204</v>
      </c>
      <c r="V256" s="36"/>
    </row>
    <row r="257" spans="1:22" x14ac:dyDescent="0.25">
      <c r="A257" s="20">
        <v>256</v>
      </c>
      <c r="B257" s="21" t="s">
        <v>95</v>
      </c>
      <c r="C257" s="21" t="s">
        <v>96</v>
      </c>
      <c r="D257" s="6" t="s">
        <v>97</v>
      </c>
      <c r="E257" s="22">
        <v>3804009</v>
      </c>
      <c r="F257" s="22" t="s">
        <v>13</v>
      </c>
      <c r="G257" s="14" t="s">
        <v>42</v>
      </c>
      <c r="H257" s="14" t="s">
        <v>41</v>
      </c>
      <c r="I257" s="23">
        <v>16623.900000000001</v>
      </c>
      <c r="J257" s="23">
        <v>12273.2</v>
      </c>
      <c r="K257" s="23">
        <v>1019</v>
      </c>
      <c r="L257" s="23"/>
      <c r="M257" s="23">
        <f>4014.3-37-12.35-104.5</f>
        <v>3860.4500000000003</v>
      </c>
      <c r="N257" s="23">
        <v>511.65</v>
      </c>
      <c r="O257" s="23">
        <f>+Table24[[#This Row],[FoodcostBlueline]]+Table24[[#This Row],[Pepsico]]</f>
        <v>4372.1000000000004</v>
      </c>
      <c r="P257" s="24">
        <f t="shared" si="14"/>
        <v>0.26300086020729191</v>
      </c>
      <c r="Q257" s="24"/>
      <c r="R257" s="23">
        <f>500+3903</f>
        <v>4403</v>
      </c>
      <c r="S257" s="25">
        <f t="shared" si="15"/>
        <v>0.2648596298100927</v>
      </c>
      <c r="T257" s="36"/>
      <c r="U257" s="36">
        <f>Table24[[#This Row],[WagesPercent]]+Table24[[#This Row],[FoodCostPercent]]</f>
        <v>0.52786049001738466</v>
      </c>
      <c r="V257" s="36"/>
    </row>
    <row r="258" spans="1:22" x14ac:dyDescent="0.25">
      <c r="A258" s="20">
        <v>257</v>
      </c>
      <c r="B258" s="21" t="s">
        <v>95</v>
      </c>
      <c r="C258" s="21" t="s">
        <v>96</v>
      </c>
      <c r="D258" s="6" t="s">
        <v>97</v>
      </c>
      <c r="E258" s="6">
        <v>3804010</v>
      </c>
      <c r="F258" s="22" t="s">
        <v>14</v>
      </c>
      <c r="G258" s="5" t="s">
        <v>42</v>
      </c>
      <c r="H258" s="5" t="s">
        <v>41</v>
      </c>
      <c r="I258" s="23">
        <v>9531.16</v>
      </c>
      <c r="J258" s="23">
        <v>7985.47</v>
      </c>
      <c r="K258" s="23">
        <v>524</v>
      </c>
      <c r="L258" s="23"/>
      <c r="M258" s="23">
        <f>2311.45-14-53</f>
        <v>2244.4499999999998</v>
      </c>
      <c r="N258" s="23">
        <v>0</v>
      </c>
      <c r="O258" s="23">
        <f>+Table24[[#This Row],[FoodcostBlueline]]+Table24[[#This Row],[Pepsico]]</f>
        <v>2244.4499999999998</v>
      </c>
      <c r="P258" s="24">
        <f t="shared" ref="P258:P321" si="16">IFERROR(((M258+N258)/I258),0)</f>
        <v>0.23548550228933307</v>
      </c>
      <c r="Q258" s="24"/>
      <c r="R258" s="23">
        <v>2148</v>
      </c>
      <c r="S258" s="25">
        <f t="shared" ref="S258:S321" si="17">+R258/I258</f>
        <v>0.22536606247298335</v>
      </c>
      <c r="T258" s="36"/>
      <c r="U258" s="36">
        <f>Table24[[#This Row],[WagesPercent]]+Table24[[#This Row],[FoodCostPercent]]</f>
        <v>0.46085156476231642</v>
      </c>
      <c r="V258" s="36"/>
    </row>
    <row r="259" spans="1:22" x14ac:dyDescent="0.25">
      <c r="A259" s="20">
        <v>258</v>
      </c>
      <c r="B259" s="21" t="s">
        <v>95</v>
      </c>
      <c r="C259" s="21" t="s">
        <v>96</v>
      </c>
      <c r="D259" s="6" t="s">
        <v>97</v>
      </c>
      <c r="E259" s="22">
        <v>3804011</v>
      </c>
      <c r="F259" s="22" t="s">
        <v>15</v>
      </c>
      <c r="G259" s="22" t="s">
        <v>79</v>
      </c>
      <c r="H259" s="14" t="s">
        <v>41</v>
      </c>
      <c r="I259" s="23">
        <v>27688.18</v>
      </c>
      <c r="J259" s="23">
        <v>23431.29</v>
      </c>
      <c r="K259" s="23">
        <v>1761</v>
      </c>
      <c r="L259" s="23"/>
      <c r="M259" s="23">
        <f>6179.61-10-12.35-138.5</f>
        <v>6018.7599999999993</v>
      </c>
      <c r="N259" s="23">
        <v>0</v>
      </c>
      <c r="O259" s="23">
        <f>+Table24[[#This Row],[FoodcostBlueline]]+Table24[[#This Row],[Pepsico]]</f>
        <v>6018.7599999999993</v>
      </c>
      <c r="P259" s="24">
        <f t="shared" si="16"/>
        <v>0.21737651228791488</v>
      </c>
      <c r="Q259" s="24"/>
      <c r="R259" s="23">
        <f>3812.08+1096.15</f>
        <v>4908.2299999999996</v>
      </c>
      <c r="S259" s="25">
        <f t="shared" si="17"/>
        <v>0.17726806167830458</v>
      </c>
      <c r="T259" s="36"/>
      <c r="U259" s="36">
        <f>Table24[[#This Row],[WagesPercent]]+Table24[[#This Row],[FoodCostPercent]]</f>
        <v>0.39464457396621944</v>
      </c>
      <c r="V259" s="36"/>
    </row>
    <row r="260" spans="1:22" x14ac:dyDescent="0.25">
      <c r="A260" s="20">
        <v>259</v>
      </c>
      <c r="B260" s="21" t="s">
        <v>95</v>
      </c>
      <c r="C260" s="21" t="s">
        <v>96</v>
      </c>
      <c r="D260" s="6" t="s">
        <v>97</v>
      </c>
      <c r="E260" s="22">
        <v>3804013</v>
      </c>
      <c r="F260" s="6" t="s">
        <v>17</v>
      </c>
      <c r="G260" s="22" t="s">
        <v>79</v>
      </c>
      <c r="H260" s="5" t="s">
        <v>41</v>
      </c>
      <c r="I260" s="23">
        <v>9488.44</v>
      </c>
      <c r="J260" s="23">
        <v>7364.63</v>
      </c>
      <c r="K260" s="23">
        <v>612</v>
      </c>
      <c r="L260" s="23"/>
      <c r="M260" s="23">
        <f>2587.38-61-12.35-11</f>
        <v>2503.0300000000002</v>
      </c>
      <c r="N260" s="23">
        <v>0</v>
      </c>
      <c r="O260" s="23">
        <f>+Table24[[#This Row],[FoodcostBlueline]]+Table24[[#This Row],[Pepsico]]</f>
        <v>2503.0300000000002</v>
      </c>
      <c r="P260" s="24">
        <f t="shared" si="16"/>
        <v>0.26379784242720616</v>
      </c>
      <c r="Q260" s="24"/>
      <c r="R260" s="23">
        <v>2288.56</v>
      </c>
      <c r="S260" s="25">
        <f t="shared" si="17"/>
        <v>0.24119454831352677</v>
      </c>
      <c r="T260" s="36"/>
      <c r="U260" s="36">
        <f>Table24[[#This Row],[WagesPercent]]+Table24[[#This Row],[FoodCostPercent]]</f>
        <v>0.50499239074073299</v>
      </c>
      <c r="V260" s="36"/>
    </row>
    <row r="261" spans="1:22" x14ac:dyDescent="0.25">
      <c r="A261" s="20">
        <v>260</v>
      </c>
      <c r="B261" s="21" t="s">
        <v>95</v>
      </c>
      <c r="C261" s="21" t="s">
        <v>96</v>
      </c>
      <c r="D261" s="6" t="s">
        <v>97</v>
      </c>
      <c r="E261" s="22">
        <v>3804014</v>
      </c>
      <c r="F261" s="22" t="s">
        <v>18</v>
      </c>
      <c r="G261" s="22" t="s">
        <v>79</v>
      </c>
      <c r="H261" s="14" t="s">
        <v>41</v>
      </c>
      <c r="I261" s="23">
        <v>8315.01</v>
      </c>
      <c r="J261" s="23">
        <v>8966.5400000000009</v>
      </c>
      <c r="K261" s="23">
        <v>504</v>
      </c>
      <c r="L261" s="23"/>
      <c r="M261" s="23">
        <f>1896.72-11-58</f>
        <v>1827.72</v>
      </c>
      <c r="N261" s="23">
        <v>0</v>
      </c>
      <c r="O261" s="23">
        <f>+Table24[[#This Row],[FoodcostBlueline]]+Table24[[#This Row],[Pepsico]]</f>
        <v>1827.72</v>
      </c>
      <c r="P261" s="24">
        <f t="shared" si="16"/>
        <v>0.21980971760707443</v>
      </c>
      <c r="Q261" s="24"/>
      <c r="R261" s="23">
        <v>2259.4</v>
      </c>
      <c r="S261" s="25">
        <f t="shared" si="17"/>
        <v>0.27172546996335545</v>
      </c>
      <c r="T261" s="36"/>
      <c r="U261" s="36">
        <f>Table24[[#This Row],[WagesPercent]]+Table24[[#This Row],[FoodCostPercent]]</f>
        <v>0.49153518757042991</v>
      </c>
      <c r="V261" s="36"/>
    </row>
    <row r="262" spans="1:22" x14ac:dyDescent="0.25">
      <c r="A262" s="20">
        <v>261</v>
      </c>
      <c r="B262" s="21" t="s">
        <v>95</v>
      </c>
      <c r="C262" s="21" t="s">
        <v>96</v>
      </c>
      <c r="D262" s="6" t="s">
        <v>97</v>
      </c>
      <c r="E262" s="6">
        <v>3804015</v>
      </c>
      <c r="F262" s="6" t="s">
        <v>19</v>
      </c>
      <c r="G262" s="6" t="s">
        <v>20</v>
      </c>
      <c r="H262" s="5" t="s">
        <v>41</v>
      </c>
      <c r="I262" s="23">
        <v>13709.9</v>
      </c>
      <c r="J262" s="23">
        <v>15642.17</v>
      </c>
      <c r="K262" s="23">
        <v>898</v>
      </c>
      <c r="L262" s="23"/>
      <c r="M262" s="23">
        <f>3759.98-10-10.91-45</f>
        <v>3694.07</v>
      </c>
      <c r="N262" s="23">
        <v>483.9</v>
      </c>
      <c r="O262" s="23">
        <f>+Table24[[#This Row],[FoodcostBlueline]]+Table24[[#This Row],[Pepsico]]</f>
        <v>4177.97</v>
      </c>
      <c r="P262" s="24">
        <f t="shared" si="16"/>
        <v>0.30474109949744349</v>
      </c>
      <c r="Q262" s="24"/>
      <c r="R262" s="23">
        <v>3590.26</v>
      </c>
      <c r="S262" s="25">
        <f t="shared" si="17"/>
        <v>0.26187353664140511</v>
      </c>
      <c r="T262" s="36"/>
      <c r="U262" s="36">
        <f>Table24[[#This Row],[WagesPercent]]+Table24[[#This Row],[FoodCostPercent]]</f>
        <v>0.56661463613884866</v>
      </c>
      <c r="V262" s="36"/>
    </row>
    <row r="263" spans="1:22" x14ac:dyDescent="0.25">
      <c r="A263" s="20">
        <v>262</v>
      </c>
      <c r="B263" s="21" t="s">
        <v>95</v>
      </c>
      <c r="C263" s="21" t="s">
        <v>96</v>
      </c>
      <c r="D263" s="6" t="s">
        <v>97</v>
      </c>
      <c r="E263" s="22">
        <v>3804016</v>
      </c>
      <c r="F263" s="22" t="s">
        <v>21</v>
      </c>
      <c r="G263" s="22" t="s">
        <v>22</v>
      </c>
      <c r="H263" s="14" t="s">
        <v>40</v>
      </c>
      <c r="I263" s="23">
        <v>11511.17</v>
      </c>
      <c r="J263" s="23">
        <v>14478.88</v>
      </c>
      <c r="K263" s="23">
        <v>695</v>
      </c>
      <c r="L263" s="23"/>
      <c r="M263" s="23">
        <f>3023.77-24.7-9-109</f>
        <v>2881.07</v>
      </c>
      <c r="N263" s="23">
        <v>362.49</v>
      </c>
      <c r="O263" s="23">
        <f>+Table24[[#This Row],[FoodcostBlueline]]+Table24[[#This Row],[Pepsico]]</f>
        <v>3243.5600000000004</v>
      </c>
      <c r="P263" s="24">
        <f t="shared" si="16"/>
        <v>0.28177500636338448</v>
      </c>
      <c r="Q263" s="24"/>
      <c r="R263" s="23">
        <v>2698.74</v>
      </c>
      <c r="S263" s="25">
        <f t="shared" si="17"/>
        <v>0.23444532571406726</v>
      </c>
      <c r="T263" s="36"/>
      <c r="U263" s="36">
        <f>Table24[[#This Row],[WagesPercent]]+Table24[[#This Row],[FoodCostPercent]]</f>
        <v>0.51622033207745177</v>
      </c>
      <c r="V263" s="36"/>
    </row>
    <row r="264" spans="1:22" x14ac:dyDescent="0.25">
      <c r="A264" s="20">
        <v>263</v>
      </c>
      <c r="B264" s="21" t="s">
        <v>95</v>
      </c>
      <c r="C264" s="21" t="s">
        <v>96</v>
      </c>
      <c r="D264" s="6" t="s">
        <v>97</v>
      </c>
      <c r="E264" s="6">
        <v>3804017</v>
      </c>
      <c r="F264" s="6" t="s">
        <v>23</v>
      </c>
      <c r="G264" s="6" t="s">
        <v>22</v>
      </c>
      <c r="H264" s="5" t="s">
        <v>40</v>
      </c>
      <c r="I264" s="23">
        <v>19908.04</v>
      </c>
      <c r="J264" s="23">
        <v>22617.23</v>
      </c>
      <c r="K264" s="23">
        <v>1250</v>
      </c>
      <c r="L264" s="23"/>
      <c r="M264" s="23">
        <f>4441.68-8-110.5</f>
        <v>4323.18</v>
      </c>
      <c r="N264" s="23">
        <v>516.12</v>
      </c>
      <c r="O264" s="23">
        <f>+Table24[[#This Row],[FoodcostBlueline]]+Table24[[#This Row],[Pepsico]]</f>
        <v>4839.3</v>
      </c>
      <c r="P264" s="24">
        <f t="shared" si="16"/>
        <v>0.24308269422806061</v>
      </c>
      <c r="Q264" s="24"/>
      <c r="R264" s="23">
        <v>4410.4399999999996</v>
      </c>
      <c r="S264" s="25">
        <f t="shared" si="17"/>
        <v>0.2215406438805628</v>
      </c>
      <c r="T264" s="36"/>
      <c r="U264" s="36">
        <f>Table24[[#This Row],[WagesPercent]]+Table24[[#This Row],[FoodCostPercent]]</f>
        <v>0.46462333810862344</v>
      </c>
      <c r="V264" s="36"/>
    </row>
    <row r="265" spans="1:22" x14ac:dyDescent="0.25">
      <c r="A265" s="20">
        <v>264</v>
      </c>
      <c r="B265" s="21" t="s">
        <v>95</v>
      </c>
      <c r="C265" s="21" t="s">
        <v>96</v>
      </c>
      <c r="D265" s="6" t="s">
        <v>97</v>
      </c>
      <c r="E265" s="22">
        <v>3804018</v>
      </c>
      <c r="F265" s="22" t="s">
        <v>24</v>
      </c>
      <c r="G265" s="22" t="s">
        <v>20</v>
      </c>
      <c r="H265" s="14" t="s">
        <v>41</v>
      </c>
      <c r="I265" s="47">
        <v>19301.8</v>
      </c>
      <c r="J265" s="23">
        <v>18889.830000000002</v>
      </c>
      <c r="K265" s="23">
        <v>1177</v>
      </c>
      <c r="L265" s="23"/>
      <c r="M265" s="23">
        <f>5710.07-13-97</f>
        <v>5600.07</v>
      </c>
      <c r="N265" s="23">
        <v>498.69</v>
      </c>
      <c r="O265" s="23">
        <f>+Table24[[#This Row],[FoodcostBlueline]]+Table24[[#This Row],[Pepsico]]</f>
        <v>6098.7599999999993</v>
      </c>
      <c r="P265" s="24">
        <f t="shared" si="16"/>
        <v>0.31596845890020619</v>
      </c>
      <c r="Q265" s="24"/>
      <c r="R265" s="23">
        <v>4250.26</v>
      </c>
      <c r="S265" s="25">
        <f t="shared" si="17"/>
        <v>0.2202001885834482</v>
      </c>
      <c r="T265" s="36"/>
      <c r="U265" s="36">
        <f>Table24[[#This Row],[WagesPercent]]+Table24[[#This Row],[FoodCostPercent]]</f>
        <v>0.53616864748365445</v>
      </c>
      <c r="V265" s="36"/>
    </row>
    <row r="266" spans="1:22" x14ac:dyDescent="0.25">
      <c r="A266" s="20">
        <v>265</v>
      </c>
      <c r="B266" s="21" t="s">
        <v>95</v>
      </c>
      <c r="C266" s="21" t="s">
        <v>96</v>
      </c>
      <c r="D266" s="6" t="s">
        <v>97</v>
      </c>
      <c r="E266" s="22">
        <v>3804019</v>
      </c>
      <c r="F266" s="6" t="s">
        <v>25</v>
      </c>
      <c r="G266" s="6" t="s">
        <v>20</v>
      </c>
      <c r="H266" s="5" t="s">
        <v>41</v>
      </c>
      <c r="I266" s="23">
        <v>12319.32</v>
      </c>
      <c r="J266" s="23">
        <v>13861.45</v>
      </c>
      <c r="K266" s="23">
        <v>765</v>
      </c>
      <c r="L266" s="23"/>
      <c r="M266" s="23">
        <f>3269.33-1-73.5</f>
        <v>3194.83</v>
      </c>
      <c r="N266" s="23">
        <v>471.08</v>
      </c>
      <c r="O266" s="23">
        <f>+Table24[[#This Row],[FoodcostBlueline]]+Table24[[#This Row],[Pepsico]]</f>
        <v>3665.91</v>
      </c>
      <c r="P266" s="24">
        <f t="shared" si="16"/>
        <v>0.29757405441209417</v>
      </c>
      <c r="Q266" s="24"/>
      <c r="R266" s="23">
        <v>3012.46</v>
      </c>
      <c r="S266" s="25">
        <f t="shared" si="17"/>
        <v>0.24453135400330539</v>
      </c>
      <c r="T266" s="36"/>
      <c r="U266" s="36">
        <f>Table24[[#This Row],[WagesPercent]]+Table24[[#This Row],[FoodCostPercent]]</f>
        <v>0.54210540841539956</v>
      </c>
      <c r="V266" s="36"/>
    </row>
    <row r="267" spans="1:22" x14ac:dyDescent="0.25">
      <c r="A267" s="20">
        <v>266</v>
      </c>
      <c r="B267" s="21" t="s">
        <v>95</v>
      </c>
      <c r="C267" s="21" t="s">
        <v>96</v>
      </c>
      <c r="D267" s="6" t="s">
        <v>97</v>
      </c>
      <c r="E267" s="22">
        <v>3804020</v>
      </c>
      <c r="F267" s="22" t="s">
        <v>26</v>
      </c>
      <c r="G267" s="22" t="s">
        <v>22</v>
      </c>
      <c r="H267" s="14" t="s">
        <v>40</v>
      </c>
      <c r="I267" s="23">
        <v>11475.6</v>
      </c>
      <c r="J267" s="23">
        <v>11824.74</v>
      </c>
      <c r="K267" s="23">
        <v>694</v>
      </c>
      <c r="L267" s="23"/>
      <c r="M267" s="23">
        <f>3351.61-5-89.5</f>
        <v>3257.11</v>
      </c>
      <c r="N267" s="23">
        <v>0</v>
      </c>
      <c r="O267" s="23">
        <f>+Table24[[#This Row],[FoodcostBlueline]]+Table24[[#This Row],[Pepsico]]</f>
        <v>3257.11</v>
      </c>
      <c r="P267" s="24">
        <f t="shared" si="16"/>
        <v>0.28382916797378788</v>
      </c>
      <c r="Q267" s="24"/>
      <c r="R267" s="23">
        <v>2437.3000000000002</v>
      </c>
      <c r="S267" s="25">
        <f t="shared" si="17"/>
        <v>0.21238976611244728</v>
      </c>
      <c r="T267" s="36"/>
      <c r="U267" s="36">
        <f>Table24[[#This Row],[WagesPercent]]+Table24[[#This Row],[FoodCostPercent]]</f>
        <v>0.49621893408623519</v>
      </c>
      <c r="V267" s="36"/>
    </row>
    <row r="268" spans="1:22" x14ac:dyDescent="0.25">
      <c r="A268" s="20">
        <v>267</v>
      </c>
      <c r="B268" s="21" t="s">
        <v>95</v>
      </c>
      <c r="C268" s="21" t="s">
        <v>96</v>
      </c>
      <c r="D268" s="6" t="s">
        <v>97</v>
      </c>
      <c r="E268" s="22">
        <v>3804021</v>
      </c>
      <c r="F268" s="6" t="s">
        <v>27</v>
      </c>
      <c r="G268" s="6" t="s">
        <v>22</v>
      </c>
      <c r="H268" s="5" t="s">
        <v>40</v>
      </c>
      <c r="I268" s="23">
        <v>22601.64</v>
      </c>
      <c r="J268" s="23">
        <v>28845.81</v>
      </c>
      <c r="K268" s="23">
        <v>1323</v>
      </c>
      <c r="L268" s="23"/>
      <c r="M268" s="23">
        <f>6322.75-11-140</f>
        <v>6171.75</v>
      </c>
      <c r="N268" s="23">
        <v>1228.05</v>
      </c>
      <c r="O268" s="23">
        <f>+Table24[[#This Row],[FoodcostBlueline]]+Table24[[#This Row],[Pepsico]]</f>
        <v>7399.8</v>
      </c>
      <c r="P268" s="24">
        <f t="shared" si="16"/>
        <v>0.3274010204569226</v>
      </c>
      <c r="Q268" s="24"/>
      <c r="R268" s="23">
        <v>4956.5200000000004</v>
      </c>
      <c r="S268" s="25">
        <f t="shared" si="17"/>
        <v>0.21929913050557395</v>
      </c>
      <c r="T268" s="36"/>
      <c r="U268" s="36">
        <f>Table24[[#This Row],[WagesPercent]]+Table24[[#This Row],[FoodCostPercent]]</f>
        <v>0.54670015096249658</v>
      </c>
      <c r="V268" s="36"/>
    </row>
    <row r="269" spans="1:22" x14ac:dyDescent="0.25">
      <c r="A269" s="20">
        <v>268</v>
      </c>
      <c r="B269" s="21" t="s">
        <v>95</v>
      </c>
      <c r="C269" s="21" t="s">
        <v>96</v>
      </c>
      <c r="D269" s="6" t="s">
        <v>97</v>
      </c>
      <c r="E269" s="22">
        <v>3804022</v>
      </c>
      <c r="F269" s="22" t="s">
        <v>28</v>
      </c>
      <c r="G269" s="22" t="s">
        <v>22</v>
      </c>
      <c r="H269" s="14" t="s">
        <v>40</v>
      </c>
      <c r="I269" s="23">
        <v>13227.97</v>
      </c>
      <c r="J269" s="23">
        <v>14980.19</v>
      </c>
      <c r="K269" s="23">
        <v>758</v>
      </c>
      <c r="L269" s="23"/>
      <c r="M269" s="23">
        <f>2582.42-3-75</f>
        <v>2504.42</v>
      </c>
      <c r="N269" s="23">
        <v>0</v>
      </c>
      <c r="O269" s="23">
        <f>+Table24[[#This Row],[FoodcostBlueline]]+Table24[[#This Row],[Pepsico]]</f>
        <v>2504.42</v>
      </c>
      <c r="P269" s="24">
        <f t="shared" si="16"/>
        <v>0.18932761413882856</v>
      </c>
      <c r="Q269" s="24"/>
      <c r="R269" s="23">
        <v>3105.37</v>
      </c>
      <c r="S269" s="25">
        <f t="shared" si="17"/>
        <v>0.23475786534139403</v>
      </c>
      <c r="T269" s="36"/>
      <c r="U269" s="36">
        <f>Table24[[#This Row],[WagesPercent]]+Table24[[#This Row],[FoodCostPercent]]</f>
        <v>0.42408547948022257</v>
      </c>
      <c r="V269" s="36"/>
    </row>
    <row r="270" spans="1:22" x14ac:dyDescent="0.25">
      <c r="A270" s="20">
        <v>269</v>
      </c>
      <c r="B270" s="21" t="s">
        <v>95</v>
      </c>
      <c r="C270" s="21" t="s">
        <v>96</v>
      </c>
      <c r="D270" s="6" t="s">
        <v>97</v>
      </c>
      <c r="E270" s="22">
        <v>3804023</v>
      </c>
      <c r="F270" s="6" t="s">
        <v>29</v>
      </c>
      <c r="G270" s="6" t="s">
        <v>22</v>
      </c>
      <c r="H270" s="5" t="s">
        <v>40</v>
      </c>
      <c r="I270" s="23">
        <v>15437.68</v>
      </c>
      <c r="J270" s="23">
        <v>16464.62</v>
      </c>
      <c r="K270" s="23">
        <v>893</v>
      </c>
      <c r="L270" s="23"/>
      <c r="M270" s="23">
        <f>4251.29-11-95</f>
        <v>4145.29</v>
      </c>
      <c r="N270" s="23">
        <v>417.6</v>
      </c>
      <c r="O270" s="23">
        <f>+Table24[[#This Row],[FoodcostBlueline]]+Table24[[#This Row],[Pepsico]]</f>
        <v>4562.8900000000003</v>
      </c>
      <c r="P270" s="24">
        <f t="shared" si="16"/>
        <v>0.29556837555902182</v>
      </c>
      <c r="Q270" s="24"/>
      <c r="R270" s="23">
        <v>3068.58</v>
      </c>
      <c r="S270" s="25">
        <f t="shared" si="17"/>
        <v>0.19877209528892942</v>
      </c>
      <c r="T270" s="36"/>
      <c r="U270" s="36">
        <f>Table24[[#This Row],[WagesPercent]]+Table24[[#This Row],[FoodCostPercent]]</f>
        <v>0.49434047084795124</v>
      </c>
      <c r="V270" s="36"/>
    </row>
    <row r="271" spans="1:22" x14ac:dyDescent="0.25">
      <c r="A271" s="20">
        <v>270</v>
      </c>
      <c r="B271" s="21" t="s">
        <v>95</v>
      </c>
      <c r="C271" s="21" t="s">
        <v>96</v>
      </c>
      <c r="D271" s="6" t="s">
        <v>97</v>
      </c>
      <c r="E271" s="22">
        <v>3804024</v>
      </c>
      <c r="F271" s="22" t="s">
        <v>30</v>
      </c>
      <c r="G271" s="22" t="s">
        <v>20</v>
      </c>
      <c r="H271" s="14" t="s">
        <v>41</v>
      </c>
      <c r="I271" s="23">
        <v>12230.64</v>
      </c>
      <c r="J271" s="23">
        <v>12111.38</v>
      </c>
      <c r="K271" s="23">
        <v>688</v>
      </c>
      <c r="L271" s="23"/>
      <c r="M271" s="23">
        <f>3197.28-24.7-12-94.5</f>
        <v>3066.0800000000004</v>
      </c>
      <c r="N271" s="23">
        <v>209.59</v>
      </c>
      <c r="O271" s="23">
        <f>+Table24[[#This Row],[FoodcostBlueline]]+Table24[[#This Row],[Pepsico]]</f>
        <v>3275.6700000000005</v>
      </c>
      <c r="P271" s="24">
        <f t="shared" si="16"/>
        <v>0.26782490531975439</v>
      </c>
      <c r="Q271" s="24"/>
      <c r="R271" s="23">
        <f>3194.41+69.23</f>
        <v>3263.64</v>
      </c>
      <c r="S271" s="25">
        <f t="shared" si="17"/>
        <v>0.26684131002138889</v>
      </c>
      <c r="T271" s="36"/>
      <c r="U271" s="36">
        <f>Table24[[#This Row],[WagesPercent]]+Table24[[#This Row],[FoodCostPercent]]</f>
        <v>0.53466621534114323</v>
      </c>
      <c r="V271" s="36"/>
    </row>
    <row r="272" spans="1:22" x14ac:dyDescent="0.25">
      <c r="A272" s="20">
        <v>271</v>
      </c>
      <c r="B272" s="21" t="s">
        <v>95</v>
      </c>
      <c r="C272" s="21" t="s">
        <v>96</v>
      </c>
      <c r="D272" s="6" t="s">
        <v>97</v>
      </c>
      <c r="E272" s="22">
        <v>3804025</v>
      </c>
      <c r="F272" s="6" t="s">
        <v>31</v>
      </c>
      <c r="G272" s="6" t="s">
        <v>20</v>
      </c>
      <c r="H272" s="5" t="s">
        <v>41</v>
      </c>
      <c r="I272" s="23">
        <v>25196.74</v>
      </c>
      <c r="J272" s="23">
        <v>26918.55</v>
      </c>
      <c r="K272" s="23">
        <v>1545</v>
      </c>
      <c r="L272" s="23"/>
      <c r="M272" s="23">
        <f>8566.26-12.35-15-191</f>
        <v>8347.91</v>
      </c>
      <c r="N272" s="23">
        <v>1053.46</v>
      </c>
      <c r="O272" s="23">
        <f>+Table24[[#This Row],[FoodcostBlueline]]+Table24[[#This Row],[Pepsico]]</f>
        <v>9401.369999999999</v>
      </c>
      <c r="P272" s="24">
        <f t="shared" si="16"/>
        <v>0.37311850660045698</v>
      </c>
      <c r="Q272" s="24"/>
      <c r="R272" s="23">
        <v>5322.7</v>
      </c>
      <c r="S272" s="25">
        <f t="shared" si="17"/>
        <v>0.21124558176970512</v>
      </c>
      <c r="T272" s="36"/>
      <c r="U272" s="36">
        <f>Table24[[#This Row],[WagesPercent]]+Table24[[#This Row],[FoodCostPercent]]</f>
        <v>0.58436408837016207</v>
      </c>
      <c r="V272" s="36"/>
    </row>
    <row r="273" spans="1:22" x14ac:dyDescent="0.25">
      <c r="A273" s="20">
        <v>272</v>
      </c>
      <c r="B273" s="21" t="s">
        <v>95</v>
      </c>
      <c r="C273" s="21" t="s">
        <v>96</v>
      </c>
      <c r="D273" s="6" t="s">
        <v>97</v>
      </c>
      <c r="E273" s="22">
        <v>3804026</v>
      </c>
      <c r="F273" s="22" t="s">
        <v>32</v>
      </c>
      <c r="G273" s="22" t="s">
        <v>79</v>
      </c>
      <c r="H273" s="15" t="s">
        <v>41</v>
      </c>
      <c r="I273" s="23">
        <v>12160.71</v>
      </c>
      <c r="J273" s="23">
        <v>11160.4</v>
      </c>
      <c r="K273" s="23">
        <v>765</v>
      </c>
      <c r="L273" s="23"/>
      <c r="M273" s="23">
        <f>3526.46-13-79</f>
        <v>3434.46</v>
      </c>
      <c r="N273" s="23">
        <v>330.94</v>
      </c>
      <c r="O273" s="23">
        <f>+Table24[[#This Row],[FoodcostBlueline]]+Table24[[#This Row],[Pepsico]]</f>
        <v>3765.4</v>
      </c>
      <c r="P273" s="24">
        <f t="shared" si="16"/>
        <v>0.30963652615677872</v>
      </c>
      <c r="Q273" s="24"/>
      <c r="R273" s="23">
        <v>3663.48</v>
      </c>
      <c r="S273" s="25">
        <f t="shared" si="17"/>
        <v>0.30125543656579262</v>
      </c>
      <c r="T273" s="36"/>
      <c r="U273" s="36">
        <f>Table24[[#This Row],[WagesPercent]]+Table24[[#This Row],[FoodCostPercent]]</f>
        <v>0.61089196272257129</v>
      </c>
      <c r="V273" s="36"/>
    </row>
    <row r="274" spans="1:22" x14ac:dyDescent="0.25">
      <c r="A274" s="20">
        <v>273</v>
      </c>
      <c r="B274" s="21" t="s">
        <v>95</v>
      </c>
      <c r="C274" s="21" t="s">
        <v>96</v>
      </c>
      <c r="D274" s="6" t="s">
        <v>97</v>
      </c>
      <c r="E274" s="22">
        <v>3804027</v>
      </c>
      <c r="F274" s="6" t="s">
        <v>33</v>
      </c>
      <c r="G274" s="5" t="s">
        <v>43</v>
      </c>
      <c r="H274" s="5" t="s">
        <v>41</v>
      </c>
      <c r="I274" s="23">
        <v>16989.18</v>
      </c>
      <c r="J274" s="23">
        <v>11107.58</v>
      </c>
      <c r="K274" s="23">
        <v>1176</v>
      </c>
      <c r="L274" s="23"/>
      <c r="M274" s="23">
        <f>4806.71-13-68.5</f>
        <v>4725.21</v>
      </c>
      <c r="N274" s="23">
        <v>713.47</v>
      </c>
      <c r="O274" s="23">
        <f>+Table24[[#This Row],[FoodcostBlueline]]+Table24[[#This Row],[Pepsico]]</f>
        <v>5438.68</v>
      </c>
      <c r="P274" s="24">
        <f t="shared" si="16"/>
        <v>0.32012610379076567</v>
      </c>
      <c r="Q274" s="24"/>
      <c r="R274" s="23">
        <f>1760.9+277+1600</f>
        <v>3637.9</v>
      </c>
      <c r="S274" s="25">
        <f t="shared" si="17"/>
        <v>0.21413040535211234</v>
      </c>
      <c r="T274" s="36"/>
      <c r="U274" s="36">
        <f>Table24[[#This Row],[WagesPercent]]+Table24[[#This Row],[FoodCostPercent]]</f>
        <v>0.53425650914287803</v>
      </c>
      <c r="V274" s="36"/>
    </row>
    <row r="275" spans="1:22" x14ac:dyDescent="0.25">
      <c r="A275" s="20">
        <v>274</v>
      </c>
      <c r="B275" s="21" t="s">
        <v>95</v>
      </c>
      <c r="C275" s="21" t="s">
        <v>96</v>
      </c>
      <c r="D275" s="6" t="s">
        <v>97</v>
      </c>
      <c r="E275" s="22">
        <v>3804029</v>
      </c>
      <c r="F275" s="22" t="s">
        <v>34</v>
      </c>
      <c r="G275" s="22" t="s">
        <v>79</v>
      </c>
      <c r="H275" s="14" t="s">
        <v>41</v>
      </c>
      <c r="I275" s="23">
        <v>11416.03</v>
      </c>
      <c r="J275" s="23">
        <v>9395.32</v>
      </c>
      <c r="K275" s="23">
        <v>720</v>
      </c>
      <c r="L275" s="23"/>
      <c r="M275" s="23">
        <f>2725.06-12+261.84-60+65</f>
        <v>2979.9</v>
      </c>
      <c r="N275" s="23">
        <v>0</v>
      </c>
      <c r="O275" s="23">
        <f>+Table24[[#This Row],[FoodcostBlueline]]+Table24[[#This Row],[Pepsico]]</f>
        <v>2979.9</v>
      </c>
      <c r="P275" s="24">
        <f t="shared" si="16"/>
        <v>0.26102769526709374</v>
      </c>
      <c r="Q275" s="24"/>
      <c r="R275" s="23">
        <f>810.81+2370+3865+2650</f>
        <v>9695.81</v>
      </c>
      <c r="S275" s="25">
        <f t="shared" si="17"/>
        <v>0.84931539247882137</v>
      </c>
      <c r="T275" s="36"/>
      <c r="U275" s="36">
        <f>Table24[[#This Row],[WagesPercent]]+Table24[[#This Row],[FoodCostPercent]]</f>
        <v>1.1103430877459151</v>
      </c>
      <c r="V275" s="36"/>
    </row>
    <row r="276" spans="1:22" x14ac:dyDescent="0.25">
      <c r="A276" s="20">
        <v>275</v>
      </c>
      <c r="B276" s="21" t="s">
        <v>95</v>
      </c>
      <c r="C276" s="21" t="s">
        <v>96</v>
      </c>
      <c r="D276" s="6" t="s">
        <v>97</v>
      </c>
      <c r="E276" s="22">
        <v>3804030</v>
      </c>
      <c r="F276" s="6" t="s">
        <v>35</v>
      </c>
      <c r="G276" s="6" t="s">
        <v>5</v>
      </c>
      <c r="H276" s="5" t="s">
        <v>40</v>
      </c>
      <c r="I276" s="23">
        <v>9527.49</v>
      </c>
      <c r="J276" s="23">
        <v>8633.0499999999993</v>
      </c>
      <c r="K276" s="23">
        <v>564</v>
      </c>
      <c r="L276" s="23"/>
      <c r="M276" s="23">
        <f>2700.13-15-68.5</f>
        <v>2616.63</v>
      </c>
      <c r="N276" s="23">
        <v>152.54</v>
      </c>
      <c r="O276" s="23">
        <f>+Table24[[#This Row],[FoodcostBlueline]]+Table24[[#This Row],[Pepsico]]</f>
        <v>2769.17</v>
      </c>
      <c r="P276" s="24">
        <f t="shared" si="16"/>
        <v>0.29065052810341446</v>
      </c>
      <c r="Q276" s="24"/>
      <c r="R276" s="23">
        <v>2505.94</v>
      </c>
      <c r="S276" s="25">
        <f t="shared" si="17"/>
        <v>0.26302205512679627</v>
      </c>
      <c r="T276" s="36"/>
      <c r="U276" s="36">
        <f>Table24[[#This Row],[WagesPercent]]+Table24[[#This Row],[FoodCostPercent]]</f>
        <v>0.55367258323021074</v>
      </c>
      <c r="V276" s="36"/>
    </row>
    <row r="277" spans="1:22" x14ac:dyDescent="0.25">
      <c r="A277" s="20">
        <v>276</v>
      </c>
      <c r="B277" s="21" t="s">
        <v>95</v>
      </c>
      <c r="C277" s="21" t="s">
        <v>96</v>
      </c>
      <c r="D277" s="6" t="s">
        <v>97</v>
      </c>
      <c r="E277" s="22">
        <v>3804031</v>
      </c>
      <c r="F277" s="22" t="s">
        <v>36</v>
      </c>
      <c r="G277" s="22" t="s">
        <v>5</v>
      </c>
      <c r="H277" s="14" t="s">
        <v>40</v>
      </c>
      <c r="I277" s="23">
        <v>11139.04</v>
      </c>
      <c r="J277" s="23">
        <v>9088.7999999999993</v>
      </c>
      <c r="K277" s="23">
        <v>680</v>
      </c>
      <c r="L277" s="23"/>
      <c r="M277" s="23">
        <f>2548.88-14-62.5</f>
        <v>2472.38</v>
      </c>
      <c r="N277" s="23">
        <v>165.78</v>
      </c>
      <c r="O277" s="23">
        <f>+Table24[[#This Row],[FoodcostBlueline]]+Table24[[#This Row],[Pepsico]]</f>
        <v>2638.1600000000003</v>
      </c>
      <c r="P277" s="24">
        <f t="shared" si="16"/>
        <v>0.23683908128528133</v>
      </c>
      <c r="Q277" s="24"/>
      <c r="R277" s="37">
        <f>2345.76+880</f>
        <v>3225.76</v>
      </c>
      <c r="S277" s="25">
        <f t="shared" si="17"/>
        <v>0.28959048535600912</v>
      </c>
      <c r="T277" s="36"/>
      <c r="U277" s="36">
        <f>Table24[[#This Row],[WagesPercent]]+Table24[[#This Row],[FoodCostPercent]]</f>
        <v>0.52642956664129048</v>
      </c>
      <c r="V277" s="36"/>
    </row>
    <row r="278" spans="1:22" x14ac:dyDescent="0.25">
      <c r="A278" s="20">
        <v>277</v>
      </c>
      <c r="B278" s="21" t="s">
        <v>95</v>
      </c>
      <c r="C278" s="21" t="s">
        <v>96</v>
      </c>
      <c r="D278" s="6" t="s">
        <v>97</v>
      </c>
      <c r="E278" s="22">
        <v>3804032</v>
      </c>
      <c r="F278" s="6" t="s">
        <v>37</v>
      </c>
      <c r="G278" s="6" t="s">
        <v>5</v>
      </c>
      <c r="H278" s="5" t="s">
        <v>40</v>
      </c>
      <c r="I278" s="23">
        <v>8796.27</v>
      </c>
      <c r="J278" s="23">
        <v>4736.13</v>
      </c>
      <c r="K278" s="23">
        <v>32</v>
      </c>
      <c r="L278" s="23"/>
      <c r="M278" s="23">
        <f>-8-57.5+2452.5</f>
        <v>2387</v>
      </c>
      <c r="N278" s="23">
        <v>222.47</v>
      </c>
      <c r="O278" s="23">
        <f>+Table24[[#This Row],[FoodcostBlueline]]+Table24[[#This Row],[Pepsico]]</f>
        <v>2609.4699999999998</v>
      </c>
      <c r="P278" s="24">
        <f t="shared" si="16"/>
        <v>0.29665642368867712</v>
      </c>
      <c r="Q278" s="24"/>
      <c r="R278" s="23">
        <f>1350+850+200</f>
        <v>2400</v>
      </c>
      <c r="S278" s="25">
        <f t="shared" si="17"/>
        <v>0.27284292091988988</v>
      </c>
      <c r="T278" s="36"/>
      <c r="U278" s="36">
        <f>Table24[[#This Row],[WagesPercent]]+Table24[[#This Row],[FoodCostPercent]]</f>
        <v>0.56949934460856699</v>
      </c>
      <c r="V278" s="36"/>
    </row>
    <row r="279" spans="1:22" x14ac:dyDescent="0.25">
      <c r="A279" s="20">
        <v>278</v>
      </c>
      <c r="B279" s="21" t="s">
        <v>95</v>
      </c>
      <c r="C279" s="21" t="s">
        <v>96</v>
      </c>
      <c r="D279" s="6" t="s">
        <v>97</v>
      </c>
      <c r="E279" s="22">
        <v>3804033</v>
      </c>
      <c r="F279" s="22" t="s">
        <v>38</v>
      </c>
      <c r="G279" s="22" t="s">
        <v>5</v>
      </c>
      <c r="H279" s="14" t="s">
        <v>40</v>
      </c>
      <c r="I279" s="23">
        <v>8590.2000000000007</v>
      </c>
      <c r="J279" s="23">
        <v>7765.95</v>
      </c>
      <c r="K279" s="23">
        <v>589</v>
      </c>
      <c r="L279" s="23"/>
      <c r="M279" s="23">
        <f>2381.69-7-12.35-24.5</f>
        <v>2337.84</v>
      </c>
      <c r="N279" s="23">
        <v>182.75</v>
      </c>
      <c r="O279" s="23">
        <f>+Table24[[#This Row],[FoodcostBlueline]]+Table24[[#This Row],[Pepsico]]</f>
        <v>2520.59</v>
      </c>
      <c r="P279" s="24">
        <f t="shared" si="16"/>
        <v>0.29342622988987449</v>
      </c>
      <c r="Q279" s="24"/>
      <c r="R279" s="23">
        <f>1350+850+165.58</f>
        <v>2365.58</v>
      </c>
      <c r="S279" s="25">
        <f t="shared" si="17"/>
        <v>0.27538124839933875</v>
      </c>
      <c r="T279" s="36"/>
      <c r="U279" s="36">
        <f>Table24[[#This Row],[WagesPercent]]+Table24[[#This Row],[FoodCostPercent]]</f>
        <v>0.56880747828921319</v>
      </c>
      <c r="V279" s="36"/>
    </row>
    <row r="280" spans="1:22" x14ac:dyDescent="0.25">
      <c r="A280" s="20">
        <v>279</v>
      </c>
      <c r="B280" s="21" t="s">
        <v>95</v>
      </c>
      <c r="C280" s="21" t="s">
        <v>96</v>
      </c>
      <c r="D280" s="6" t="s">
        <v>97</v>
      </c>
      <c r="E280" s="22">
        <v>3804034</v>
      </c>
      <c r="F280" s="6" t="s">
        <v>53</v>
      </c>
      <c r="G280" s="22" t="s">
        <v>79</v>
      </c>
      <c r="H280" s="5" t="s">
        <v>41</v>
      </c>
      <c r="I280" s="23">
        <v>9058.09</v>
      </c>
      <c r="J280" s="23">
        <v>0</v>
      </c>
      <c r="K280" s="23">
        <v>516</v>
      </c>
      <c r="L280" s="23"/>
      <c r="M280" s="23">
        <f>-7+2159.41-24</f>
        <v>2128.41</v>
      </c>
      <c r="N280" s="23">
        <v>204.38</v>
      </c>
      <c r="O280" s="23">
        <f>+Table24[[#This Row],[FoodcostBlueline]]+Table24[[#This Row],[Pepsico]]</f>
        <v>2332.79</v>
      </c>
      <c r="P280" s="24">
        <f t="shared" si="16"/>
        <v>0.25753663299878893</v>
      </c>
      <c r="Q280" s="24"/>
      <c r="R280" s="23">
        <f>651.97+2400</f>
        <v>3051.9700000000003</v>
      </c>
      <c r="S280" s="25">
        <f t="shared" si="17"/>
        <v>0.33693306204729695</v>
      </c>
      <c r="T280" s="36"/>
      <c r="U280" s="36">
        <f>Table24[[#This Row],[WagesPercent]]+Table24[[#This Row],[FoodCostPercent]]</f>
        <v>0.59446969504608593</v>
      </c>
      <c r="V280" s="36"/>
    </row>
    <row r="281" spans="1:22" x14ac:dyDescent="0.25">
      <c r="A281" s="20">
        <v>280</v>
      </c>
      <c r="B281" s="21" t="s">
        <v>98</v>
      </c>
      <c r="C281" s="21" t="s">
        <v>96</v>
      </c>
      <c r="D281" s="6" t="s">
        <v>52</v>
      </c>
      <c r="E281" s="22">
        <v>3804001</v>
      </c>
      <c r="F281" s="22" t="s">
        <v>4</v>
      </c>
      <c r="G281" s="22" t="s">
        <v>5</v>
      </c>
      <c r="H281" s="5" t="s">
        <v>40</v>
      </c>
      <c r="I281" s="23">
        <v>26946.27</v>
      </c>
      <c r="J281" s="23">
        <v>27038.15</v>
      </c>
      <c r="K281" s="23">
        <v>1742</v>
      </c>
      <c r="L281" s="23"/>
      <c r="M281" s="23">
        <v>7723.62</v>
      </c>
      <c r="N281" s="23">
        <v>601.11</v>
      </c>
      <c r="O281" s="23">
        <f>+Table24[[#This Row],[FoodcostBlueline]]+Table24[[#This Row],[Pepsico]]</f>
        <v>8324.73</v>
      </c>
      <c r="P281" s="24">
        <f t="shared" si="16"/>
        <v>0.30893812019251643</v>
      </c>
      <c r="Q281" s="24"/>
      <c r="R281" s="23">
        <f>5207.88+740+165.58</f>
        <v>6113.46</v>
      </c>
      <c r="S281" s="25">
        <f t="shared" si="17"/>
        <v>0.22687592754024954</v>
      </c>
      <c r="T281" s="36"/>
      <c r="U281" s="36">
        <f>Table24[[#This Row],[WagesPercent]]+Table24[[#This Row],[FoodCostPercent]]</f>
        <v>0.53581404773276597</v>
      </c>
      <c r="V281" s="36"/>
    </row>
    <row r="282" spans="1:22" x14ac:dyDescent="0.25">
      <c r="A282" s="20">
        <v>281</v>
      </c>
      <c r="B282" s="21" t="s">
        <v>98</v>
      </c>
      <c r="C282" s="21" t="s">
        <v>96</v>
      </c>
      <c r="D282" s="6" t="s">
        <v>52</v>
      </c>
      <c r="E282" s="22">
        <v>3804002</v>
      </c>
      <c r="F282" s="22" t="s">
        <v>6</v>
      </c>
      <c r="G282" s="22" t="s">
        <v>7</v>
      </c>
      <c r="H282" s="14" t="s">
        <v>41</v>
      </c>
      <c r="I282" s="23">
        <v>13297.81</v>
      </c>
      <c r="J282" s="23">
        <v>14070.94</v>
      </c>
      <c r="K282" s="23">
        <v>1053</v>
      </c>
      <c r="L282" s="23"/>
      <c r="M282" s="23">
        <f>3731+425.37</f>
        <v>4156.37</v>
      </c>
      <c r="N282" s="23">
        <v>170.8</v>
      </c>
      <c r="O282" s="23">
        <f>+Table24[[#This Row],[FoodcostBlueline]]+Table24[[#This Row],[Pepsico]]</f>
        <v>4327.17</v>
      </c>
      <c r="P282" s="24">
        <f t="shared" si="16"/>
        <v>0.32540470949727812</v>
      </c>
      <c r="Q282" s="24"/>
      <c r="R282" s="23">
        <v>3252.96</v>
      </c>
      <c r="S282" s="25">
        <f t="shared" si="17"/>
        <v>0.24462373879608748</v>
      </c>
      <c r="T282" s="36"/>
      <c r="U282" s="36">
        <f>Table24[[#This Row],[WagesPercent]]+Table24[[#This Row],[FoodCostPercent]]</f>
        <v>0.57002844829336563</v>
      </c>
      <c r="V282" s="36"/>
    </row>
    <row r="283" spans="1:22" x14ac:dyDescent="0.25">
      <c r="A283" s="20">
        <v>282</v>
      </c>
      <c r="B283" s="21" t="s">
        <v>98</v>
      </c>
      <c r="C283" s="21" t="s">
        <v>96</v>
      </c>
      <c r="D283" s="6" t="s">
        <v>52</v>
      </c>
      <c r="E283" s="22">
        <v>3804003</v>
      </c>
      <c r="F283" s="22" t="s">
        <v>8</v>
      </c>
      <c r="G283" s="22" t="s">
        <v>7</v>
      </c>
      <c r="H283" s="5" t="s">
        <v>41</v>
      </c>
      <c r="I283" s="23">
        <v>11811.73</v>
      </c>
      <c r="J283" s="23">
        <v>9333.85</v>
      </c>
      <c r="K283" s="23">
        <v>751</v>
      </c>
      <c r="L283" s="23"/>
      <c r="M283" s="23">
        <v>3315.12</v>
      </c>
      <c r="N283" s="23">
        <v>405.17</v>
      </c>
      <c r="O283" s="23">
        <f>+Table24[[#This Row],[FoodcostBlueline]]+Table24[[#This Row],[Pepsico]]</f>
        <v>3720.29</v>
      </c>
      <c r="P283" s="24">
        <f t="shared" si="16"/>
        <v>0.31496571628372816</v>
      </c>
      <c r="Q283" s="24"/>
      <c r="R283" s="23">
        <f>2699.49+50</f>
        <v>2749.49</v>
      </c>
      <c r="S283" s="25">
        <f t="shared" si="17"/>
        <v>0.23277623176283235</v>
      </c>
      <c r="T283" s="36"/>
      <c r="U283" s="36">
        <f>Table24[[#This Row],[WagesPercent]]+Table24[[#This Row],[FoodCostPercent]]</f>
        <v>0.54774194804656051</v>
      </c>
      <c r="V283" s="36"/>
    </row>
    <row r="284" spans="1:22" x14ac:dyDescent="0.25">
      <c r="A284" s="20">
        <v>283</v>
      </c>
      <c r="B284" s="21" t="s">
        <v>98</v>
      </c>
      <c r="C284" s="21" t="s">
        <v>96</v>
      </c>
      <c r="D284" s="6" t="s">
        <v>52</v>
      </c>
      <c r="E284" s="22">
        <v>3804004</v>
      </c>
      <c r="F284" s="22" t="s">
        <v>9</v>
      </c>
      <c r="G284" s="22" t="s">
        <v>7</v>
      </c>
      <c r="H284" s="14" t="s">
        <v>41</v>
      </c>
      <c r="I284" s="23">
        <v>15667.5</v>
      </c>
      <c r="J284" s="23">
        <v>12702.8</v>
      </c>
      <c r="K284" s="23">
        <v>1055</v>
      </c>
      <c r="L284" s="23"/>
      <c r="M284" s="23">
        <v>4915.95</v>
      </c>
      <c r="N284" s="23">
        <v>730.7</v>
      </c>
      <c r="O284" s="23">
        <f>+Table24[[#This Row],[FoodcostBlueline]]+Table24[[#This Row],[Pepsico]]</f>
        <v>5646.65</v>
      </c>
      <c r="P284" s="24">
        <f t="shared" si="16"/>
        <v>0.36040529759055367</v>
      </c>
      <c r="Q284" s="24"/>
      <c r="R284" s="23">
        <v>3584.52</v>
      </c>
      <c r="S284" s="25">
        <f t="shared" si="17"/>
        <v>0.22878697941598852</v>
      </c>
      <c r="T284" s="36"/>
      <c r="U284" s="36">
        <f>Table24[[#This Row],[WagesPercent]]+Table24[[#This Row],[FoodCostPercent]]</f>
        <v>0.5891922770065422</v>
      </c>
      <c r="V284" s="36"/>
    </row>
    <row r="285" spans="1:22" x14ac:dyDescent="0.25">
      <c r="A285" s="20">
        <v>284</v>
      </c>
      <c r="B285" s="21" t="s">
        <v>98</v>
      </c>
      <c r="C285" s="21" t="s">
        <v>96</v>
      </c>
      <c r="D285" s="6" t="s">
        <v>52</v>
      </c>
      <c r="E285" s="6">
        <v>3804005</v>
      </c>
      <c r="F285" s="22" t="s">
        <v>10</v>
      </c>
      <c r="G285" s="22" t="s">
        <v>7</v>
      </c>
      <c r="H285" s="5" t="s">
        <v>41</v>
      </c>
      <c r="I285" s="23">
        <v>12038.3</v>
      </c>
      <c r="J285" s="23">
        <v>12838.99</v>
      </c>
      <c r="K285" s="23">
        <v>806</v>
      </c>
      <c r="L285" s="23"/>
      <c r="M285" s="23">
        <v>3663.67</v>
      </c>
      <c r="N285" s="23">
        <v>364.65</v>
      </c>
      <c r="O285" s="23">
        <f>+Table24[[#This Row],[FoodcostBlueline]]+Table24[[#This Row],[Pepsico]]</f>
        <v>4028.32</v>
      </c>
      <c r="P285" s="24">
        <f t="shared" si="16"/>
        <v>0.33462532085095076</v>
      </c>
      <c r="Q285" s="24"/>
      <c r="R285" s="23">
        <v>3287.32</v>
      </c>
      <c r="S285" s="25">
        <f t="shared" si="17"/>
        <v>0.2730717792379323</v>
      </c>
      <c r="T285" s="36"/>
      <c r="U285" s="36">
        <f>Table24[[#This Row],[WagesPercent]]+Table24[[#This Row],[FoodCostPercent]]</f>
        <v>0.60769710008888311</v>
      </c>
      <c r="V285" s="36"/>
    </row>
    <row r="286" spans="1:22" x14ac:dyDescent="0.25">
      <c r="A286" s="20">
        <v>285</v>
      </c>
      <c r="B286" s="21" t="s">
        <v>98</v>
      </c>
      <c r="C286" s="21" t="s">
        <v>96</v>
      </c>
      <c r="D286" s="6" t="s">
        <v>52</v>
      </c>
      <c r="E286" s="22">
        <v>3804006</v>
      </c>
      <c r="F286" s="22" t="s">
        <v>11</v>
      </c>
      <c r="G286" s="22" t="s">
        <v>7</v>
      </c>
      <c r="H286" s="14" t="s">
        <v>41</v>
      </c>
      <c r="I286" s="23">
        <v>8499.93</v>
      </c>
      <c r="J286" s="23">
        <v>10348.82</v>
      </c>
      <c r="K286" s="23">
        <v>638</v>
      </c>
      <c r="L286" s="23"/>
      <c r="M286" s="23">
        <f>248.76+2048.94</f>
        <v>2297.6999999999998</v>
      </c>
      <c r="N286" s="23">
        <v>352.46</v>
      </c>
      <c r="O286" s="23">
        <f>+Table24[[#This Row],[FoodcostBlueline]]+Table24[[#This Row],[Pepsico]]</f>
        <v>2650.16</v>
      </c>
      <c r="P286" s="24">
        <f t="shared" si="16"/>
        <v>0.3117860970619758</v>
      </c>
      <c r="Q286" s="24"/>
      <c r="R286" s="23">
        <v>1649.57</v>
      </c>
      <c r="S286" s="25">
        <f t="shared" si="17"/>
        <v>0.1940686570359991</v>
      </c>
      <c r="T286" s="36"/>
      <c r="U286" s="36">
        <f>Table24[[#This Row],[WagesPercent]]+Table24[[#This Row],[FoodCostPercent]]</f>
        <v>0.50585475409797487</v>
      </c>
      <c r="V286" s="36"/>
    </row>
    <row r="287" spans="1:22" x14ac:dyDescent="0.25">
      <c r="A287" s="20">
        <v>286</v>
      </c>
      <c r="B287" s="21" t="s">
        <v>98</v>
      </c>
      <c r="C287" s="21" t="s">
        <v>96</v>
      </c>
      <c r="D287" s="6" t="s">
        <v>52</v>
      </c>
      <c r="E287" s="22">
        <v>3804008</v>
      </c>
      <c r="F287" s="22" t="s">
        <v>12</v>
      </c>
      <c r="G287" s="5" t="s">
        <v>42</v>
      </c>
      <c r="H287" s="5" t="s">
        <v>41</v>
      </c>
      <c r="I287" s="23">
        <v>22728.06</v>
      </c>
      <c r="J287" s="23">
        <v>17833.18</v>
      </c>
      <c r="K287" s="23">
        <v>1377</v>
      </c>
      <c r="L287" s="23"/>
      <c r="M287" s="23">
        <f>6288.09-24.7</f>
        <v>6263.39</v>
      </c>
      <c r="N287" s="23">
        <v>614.4</v>
      </c>
      <c r="O287" s="23">
        <f>+Table24[[#This Row],[FoodcostBlueline]]+Table24[[#This Row],[Pepsico]]</f>
        <v>6877.79</v>
      </c>
      <c r="P287" s="24">
        <f t="shared" si="16"/>
        <v>0.30261227751070702</v>
      </c>
      <c r="Q287" s="24"/>
      <c r="R287" s="23">
        <f>357.36+5036</f>
        <v>5393.36</v>
      </c>
      <c r="S287" s="25">
        <f t="shared" si="17"/>
        <v>0.23729961994116522</v>
      </c>
      <c r="T287" s="36"/>
      <c r="U287" s="36">
        <f>Table24[[#This Row],[WagesPercent]]+Table24[[#This Row],[FoodCostPercent]]</f>
        <v>0.53991189745187218</v>
      </c>
      <c r="V287" s="36"/>
    </row>
    <row r="288" spans="1:22" x14ac:dyDescent="0.25">
      <c r="A288" s="20">
        <v>287</v>
      </c>
      <c r="B288" s="21" t="s">
        <v>98</v>
      </c>
      <c r="C288" s="21" t="s">
        <v>96</v>
      </c>
      <c r="D288" s="6" t="s">
        <v>52</v>
      </c>
      <c r="E288" s="22">
        <v>3804009</v>
      </c>
      <c r="F288" s="22" t="s">
        <v>13</v>
      </c>
      <c r="G288" s="14" t="s">
        <v>42</v>
      </c>
      <c r="H288" s="14" t="s">
        <v>41</v>
      </c>
      <c r="I288" s="23">
        <v>16256.57</v>
      </c>
      <c r="J288" s="23">
        <v>13244.6</v>
      </c>
      <c r="K288" s="23">
        <v>981</v>
      </c>
      <c r="L288" s="23"/>
      <c r="M288" s="23">
        <f>4061.06-12.35</f>
        <v>4048.71</v>
      </c>
      <c r="N288" s="23">
        <v>558.27</v>
      </c>
      <c r="O288" s="23">
        <f>+Table24[[#This Row],[FoodcostBlueline]]+Table24[[#This Row],[Pepsico]]</f>
        <v>4606.9799999999996</v>
      </c>
      <c r="P288" s="24">
        <f t="shared" si="16"/>
        <v>0.28339188401981474</v>
      </c>
      <c r="Q288" s="24"/>
      <c r="R288" s="23">
        <v>3903</v>
      </c>
      <c r="S288" s="25">
        <f t="shared" si="17"/>
        <v>0.24008754614288255</v>
      </c>
      <c r="T288" s="36"/>
      <c r="U288" s="36">
        <f>Table24[[#This Row],[WagesPercent]]+Table24[[#This Row],[FoodCostPercent]]</f>
        <v>0.52347943016269727</v>
      </c>
      <c r="V288" s="36"/>
    </row>
    <row r="289" spans="1:22" x14ac:dyDescent="0.25">
      <c r="A289" s="20">
        <v>288</v>
      </c>
      <c r="B289" s="21" t="s">
        <v>98</v>
      </c>
      <c r="C289" s="21" t="s">
        <v>96</v>
      </c>
      <c r="D289" s="6" t="s">
        <v>52</v>
      </c>
      <c r="E289" s="6">
        <v>3804010</v>
      </c>
      <c r="F289" s="22" t="s">
        <v>14</v>
      </c>
      <c r="G289" s="5" t="s">
        <v>42</v>
      </c>
      <c r="H289" s="5" t="s">
        <v>41</v>
      </c>
      <c r="I289" s="23">
        <v>7552.28</v>
      </c>
      <c r="J289" s="23">
        <v>7298.48</v>
      </c>
      <c r="K289" s="23">
        <v>450</v>
      </c>
      <c r="L289" s="23"/>
      <c r="M289" s="23">
        <f>1931.64-12.35</f>
        <v>1919.2900000000002</v>
      </c>
      <c r="N289" s="23">
        <v>0</v>
      </c>
      <c r="O289" s="23">
        <f>+Table24[[#This Row],[FoodcostBlueline]]+Table24[[#This Row],[Pepsico]]</f>
        <v>1919.2900000000002</v>
      </c>
      <c r="P289" s="24">
        <f t="shared" si="16"/>
        <v>0.25413385096950858</v>
      </c>
      <c r="Q289" s="24"/>
      <c r="R289" s="23">
        <f>250+2148</f>
        <v>2398</v>
      </c>
      <c r="S289" s="25">
        <f t="shared" si="17"/>
        <v>0.31752000720312279</v>
      </c>
      <c r="T289" s="36"/>
      <c r="U289" s="36">
        <f>Table24[[#This Row],[WagesPercent]]+Table24[[#This Row],[FoodCostPercent]]</f>
        <v>0.57165385817263137</v>
      </c>
      <c r="V289" s="36"/>
    </row>
    <row r="290" spans="1:22" x14ac:dyDescent="0.25">
      <c r="A290" s="20">
        <v>289</v>
      </c>
      <c r="B290" s="21" t="s">
        <v>98</v>
      </c>
      <c r="C290" s="21" t="s">
        <v>96</v>
      </c>
      <c r="D290" s="6" t="s">
        <v>52</v>
      </c>
      <c r="E290" s="22">
        <v>3804011</v>
      </c>
      <c r="F290" s="22" t="s">
        <v>15</v>
      </c>
      <c r="G290" s="22" t="s">
        <v>79</v>
      </c>
      <c r="H290" s="14" t="s">
        <v>41</v>
      </c>
      <c r="I290" s="23">
        <v>28117.91</v>
      </c>
      <c r="J290" s="23">
        <v>21080.63</v>
      </c>
      <c r="K290" s="23">
        <v>1753</v>
      </c>
      <c r="L290" s="23"/>
      <c r="M290" s="23">
        <v>7125.86</v>
      </c>
      <c r="N290" s="23">
        <v>908.9</v>
      </c>
      <c r="O290" s="23">
        <f>+Table24[[#This Row],[FoodcostBlueline]]+Table24[[#This Row],[Pepsico]]</f>
        <v>8034.7599999999993</v>
      </c>
      <c r="P290" s="24">
        <f t="shared" si="16"/>
        <v>0.28575239055818868</v>
      </c>
      <c r="Q290" s="24"/>
      <c r="R290" s="23">
        <f>3535.08+1096.15</f>
        <v>4631.2299999999996</v>
      </c>
      <c r="S290" s="25">
        <f t="shared" si="17"/>
        <v>0.16470747648029316</v>
      </c>
      <c r="T290" s="36"/>
      <c r="U290" s="36">
        <f>Table24[[#This Row],[WagesPercent]]+Table24[[#This Row],[FoodCostPercent]]</f>
        <v>0.45045986703848184</v>
      </c>
      <c r="V290" s="36"/>
    </row>
    <row r="291" spans="1:22" x14ac:dyDescent="0.25">
      <c r="A291" s="20">
        <v>290</v>
      </c>
      <c r="B291" s="21" t="s">
        <v>98</v>
      </c>
      <c r="C291" s="21" t="s">
        <v>96</v>
      </c>
      <c r="D291" s="6" t="s">
        <v>52</v>
      </c>
      <c r="E291" s="22">
        <v>3804013</v>
      </c>
      <c r="F291" s="6" t="s">
        <v>17</v>
      </c>
      <c r="G291" s="22" t="s">
        <v>79</v>
      </c>
      <c r="H291" s="5" t="s">
        <v>41</v>
      </c>
      <c r="I291" s="23">
        <v>8466.15</v>
      </c>
      <c r="J291" s="23">
        <v>7724.16</v>
      </c>
      <c r="K291" s="23">
        <v>527</v>
      </c>
      <c r="L291" s="23"/>
      <c r="M291" s="23">
        <v>2269.73</v>
      </c>
      <c r="N291" s="23">
        <v>215.57</v>
      </c>
      <c r="O291" s="23">
        <f>+Table24[[#This Row],[FoodcostBlueline]]+Table24[[#This Row],[Pepsico]]</f>
        <v>2485.3000000000002</v>
      </c>
      <c r="P291" s="24">
        <f t="shared" si="16"/>
        <v>0.29355728400748871</v>
      </c>
      <c r="Q291" s="24"/>
      <c r="R291" s="23">
        <v>2252.4</v>
      </c>
      <c r="S291" s="25">
        <f t="shared" si="17"/>
        <v>0.26604773125919101</v>
      </c>
      <c r="T291" s="36"/>
      <c r="U291" s="36">
        <f>Table24[[#This Row],[WagesPercent]]+Table24[[#This Row],[FoodCostPercent]]</f>
        <v>0.55960501526667972</v>
      </c>
      <c r="V291" s="36"/>
    </row>
    <row r="292" spans="1:22" x14ac:dyDescent="0.25">
      <c r="A292" s="20">
        <v>291</v>
      </c>
      <c r="B292" s="21" t="s">
        <v>98</v>
      </c>
      <c r="C292" s="21" t="s">
        <v>96</v>
      </c>
      <c r="D292" s="6" t="s">
        <v>52</v>
      </c>
      <c r="E292" s="22">
        <v>3804014</v>
      </c>
      <c r="F292" s="22" t="s">
        <v>18</v>
      </c>
      <c r="G292" s="22" t="s">
        <v>79</v>
      </c>
      <c r="H292" s="14" t="s">
        <v>41</v>
      </c>
      <c r="I292" s="23">
        <v>8135.47</v>
      </c>
      <c r="J292" s="23">
        <v>8989.8700000000008</v>
      </c>
      <c r="K292" s="23">
        <v>520</v>
      </c>
      <c r="L292" s="23"/>
      <c r="M292" s="23">
        <v>2052.35</v>
      </c>
      <c r="N292" s="23">
        <v>175.85</v>
      </c>
      <c r="O292" s="23">
        <f>+Table24[[#This Row],[FoodcostBlueline]]+Table24[[#This Row],[Pepsico]]</f>
        <v>2228.1999999999998</v>
      </c>
      <c r="P292" s="24">
        <f t="shared" si="16"/>
        <v>0.27388706491450399</v>
      </c>
      <c r="Q292" s="24"/>
      <c r="R292" s="23">
        <v>2075.27</v>
      </c>
      <c r="S292" s="25">
        <f t="shared" si="17"/>
        <v>0.25508913437084763</v>
      </c>
      <c r="T292" s="36"/>
      <c r="U292" s="36">
        <f>Table24[[#This Row],[WagesPercent]]+Table24[[#This Row],[FoodCostPercent]]</f>
        <v>0.52897619928535167</v>
      </c>
      <c r="V292" s="36"/>
    </row>
    <row r="293" spans="1:22" x14ac:dyDescent="0.25">
      <c r="A293" s="20">
        <v>292</v>
      </c>
      <c r="B293" s="21" t="s">
        <v>98</v>
      </c>
      <c r="C293" s="21" t="s">
        <v>96</v>
      </c>
      <c r="D293" s="6" t="s">
        <v>52</v>
      </c>
      <c r="E293" s="6">
        <v>3804015</v>
      </c>
      <c r="F293" s="6" t="s">
        <v>19</v>
      </c>
      <c r="G293" s="6" t="s">
        <v>20</v>
      </c>
      <c r="H293" s="5" t="s">
        <v>41</v>
      </c>
      <c r="I293" s="23">
        <v>13093.76</v>
      </c>
      <c r="J293" s="23">
        <v>15149.03</v>
      </c>
      <c r="K293" s="23">
        <v>853</v>
      </c>
      <c r="L293" s="23"/>
      <c r="M293" s="23">
        <v>4665.72</v>
      </c>
      <c r="N293" s="23">
        <v>0</v>
      </c>
      <c r="O293" s="23">
        <f>+Table24[[#This Row],[FoodcostBlueline]]+Table24[[#This Row],[Pepsico]]</f>
        <v>4665.72</v>
      </c>
      <c r="P293" s="24">
        <f t="shared" si="16"/>
        <v>0.35633156557016471</v>
      </c>
      <c r="Q293" s="24"/>
      <c r="R293" s="23">
        <v>3505.35</v>
      </c>
      <c r="S293" s="25">
        <f t="shared" si="17"/>
        <v>0.26771149005327727</v>
      </c>
      <c r="T293" s="36"/>
      <c r="U293" s="36">
        <f>Table24[[#This Row],[WagesPercent]]+Table24[[#This Row],[FoodCostPercent]]</f>
        <v>0.62404305562344198</v>
      </c>
      <c r="V293" s="36"/>
    </row>
    <row r="294" spans="1:22" x14ac:dyDescent="0.25">
      <c r="A294" s="20">
        <v>293</v>
      </c>
      <c r="B294" s="21" t="s">
        <v>98</v>
      </c>
      <c r="C294" s="21" t="s">
        <v>96</v>
      </c>
      <c r="D294" s="6" t="s">
        <v>52</v>
      </c>
      <c r="E294" s="22">
        <v>3804016</v>
      </c>
      <c r="F294" s="22" t="s">
        <v>21</v>
      </c>
      <c r="G294" s="22" t="s">
        <v>22</v>
      </c>
      <c r="H294" s="14" t="s">
        <v>40</v>
      </c>
      <c r="I294" s="23">
        <v>13299.95</v>
      </c>
      <c r="J294" s="23">
        <v>15328.87</v>
      </c>
      <c r="K294" s="23">
        <v>778</v>
      </c>
      <c r="L294" s="23"/>
      <c r="M294" s="23">
        <v>3212.34</v>
      </c>
      <c r="N294" s="23">
        <v>376.74</v>
      </c>
      <c r="O294" s="23">
        <f>+Table24[[#This Row],[FoodcostBlueline]]+Table24[[#This Row],[Pepsico]]</f>
        <v>3589.08</v>
      </c>
      <c r="P294" s="24">
        <f t="shared" si="16"/>
        <v>0.26985665359644206</v>
      </c>
      <c r="Q294" s="24"/>
      <c r="R294" s="23">
        <v>2737.52</v>
      </c>
      <c r="S294" s="25">
        <f t="shared" si="17"/>
        <v>0.20582934522310234</v>
      </c>
      <c r="T294" s="36"/>
      <c r="U294" s="36">
        <f>Table24[[#This Row],[WagesPercent]]+Table24[[#This Row],[FoodCostPercent]]</f>
        <v>0.47568599881954443</v>
      </c>
      <c r="V294" s="36"/>
    </row>
    <row r="295" spans="1:22" x14ac:dyDescent="0.25">
      <c r="A295" s="20">
        <v>294</v>
      </c>
      <c r="B295" s="21" t="s">
        <v>98</v>
      </c>
      <c r="C295" s="21" t="s">
        <v>96</v>
      </c>
      <c r="D295" s="6" t="s">
        <v>52</v>
      </c>
      <c r="E295" s="6">
        <v>3804017</v>
      </c>
      <c r="F295" s="6" t="s">
        <v>23</v>
      </c>
      <c r="G295" s="6" t="s">
        <v>22</v>
      </c>
      <c r="H295" s="5" t="s">
        <v>40</v>
      </c>
      <c r="I295" s="23">
        <v>15903.08</v>
      </c>
      <c r="J295" s="23">
        <v>20954.04</v>
      </c>
      <c r="K295" s="23">
        <v>1054</v>
      </c>
      <c r="L295" s="23"/>
      <c r="M295" s="23">
        <v>6935</v>
      </c>
      <c r="N295" s="23">
        <v>718.46</v>
      </c>
      <c r="O295" s="23">
        <f>+Table24[[#This Row],[FoodcostBlueline]]+Table24[[#This Row],[Pepsico]]</f>
        <v>7653.46</v>
      </c>
      <c r="P295" s="24">
        <f t="shared" si="16"/>
        <v>0.48125646101258374</v>
      </c>
      <c r="Q295" s="24"/>
      <c r="R295" s="23">
        <v>3889.74</v>
      </c>
      <c r="S295" s="25">
        <f t="shared" si="17"/>
        <v>0.2445903560819665</v>
      </c>
      <c r="T295" s="36"/>
      <c r="U295" s="36">
        <f>Table24[[#This Row],[WagesPercent]]+Table24[[#This Row],[FoodCostPercent]]</f>
        <v>0.72584681709455023</v>
      </c>
      <c r="V295" s="36"/>
    </row>
    <row r="296" spans="1:22" x14ac:dyDescent="0.25">
      <c r="A296" s="20">
        <v>295</v>
      </c>
      <c r="B296" s="21" t="s">
        <v>98</v>
      </c>
      <c r="C296" s="21" t="s">
        <v>96</v>
      </c>
      <c r="D296" s="6" t="s">
        <v>52</v>
      </c>
      <c r="E296" s="22">
        <v>3804018</v>
      </c>
      <c r="F296" s="22" t="s">
        <v>24</v>
      </c>
      <c r="G296" s="22" t="s">
        <v>20</v>
      </c>
      <c r="H296" s="14" t="s">
        <v>41</v>
      </c>
      <c r="I296" s="23">
        <v>19091.57</v>
      </c>
      <c r="J296" s="23">
        <v>17152.55</v>
      </c>
      <c r="K296" s="23">
        <v>1131</v>
      </c>
      <c r="L296" s="23"/>
      <c r="M296" s="23">
        <v>6989.02</v>
      </c>
      <c r="N296" s="23">
        <v>497.89</v>
      </c>
      <c r="O296" s="23">
        <f>+Table24[[#This Row],[FoodcostBlueline]]+Table24[[#This Row],[Pepsico]]</f>
        <v>7486.9100000000008</v>
      </c>
      <c r="P296" s="24">
        <f t="shared" si="16"/>
        <v>0.39215790005745998</v>
      </c>
      <c r="Q296" s="24"/>
      <c r="R296" s="23">
        <v>4264.97</v>
      </c>
      <c r="S296" s="25">
        <f t="shared" si="17"/>
        <v>0.2233954567382358</v>
      </c>
      <c r="T296" s="36"/>
      <c r="U296" s="36">
        <f>Table24[[#This Row],[WagesPercent]]+Table24[[#This Row],[FoodCostPercent]]</f>
        <v>0.61555335679569578</v>
      </c>
      <c r="V296" s="36"/>
    </row>
    <row r="297" spans="1:22" x14ac:dyDescent="0.25">
      <c r="A297" s="20">
        <v>296</v>
      </c>
      <c r="B297" s="21" t="s">
        <v>98</v>
      </c>
      <c r="C297" s="21" t="s">
        <v>96</v>
      </c>
      <c r="D297" s="6" t="s">
        <v>52</v>
      </c>
      <c r="E297" s="22">
        <v>3804019</v>
      </c>
      <c r="F297" s="6" t="s">
        <v>25</v>
      </c>
      <c r="G297" s="6" t="s">
        <v>20</v>
      </c>
      <c r="H297" s="5" t="s">
        <v>41</v>
      </c>
      <c r="I297" s="23">
        <v>11380.67</v>
      </c>
      <c r="J297" s="23">
        <v>11963.2</v>
      </c>
      <c r="K297" s="23">
        <v>705</v>
      </c>
      <c r="L297" s="23"/>
      <c r="M297" s="23">
        <f>4156.16-12.35</f>
        <v>4143.8099999999995</v>
      </c>
      <c r="N297" s="23">
        <v>0</v>
      </c>
      <c r="O297" s="23">
        <f>+Table24[[#This Row],[FoodcostBlueline]]+Table24[[#This Row],[Pepsico]]</f>
        <v>4143.8099999999995</v>
      </c>
      <c r="P297" s="24">
        <f t="shared" si="16"/>
        <v>0.36410949443222584</v>
      </c>
      <c r="Q297" s="24"/>
      <c r="R297" s="23">
        <v>2967.18</v>
      </c>
      <c r="S297" s="25">
        <f t="shared" si="17"/>
        <v>0.26072102960546256</v>
      </c>
      <c r="T297" s="36"/>
      <c r="U297" s="36">
        <f>Table24[[#This Row],[WagesPercent]]+Table24[[#This Row],[FoodCostPercent]]</f>
        <v>0.62483052403768835</v>
      </c>
      <c r="V297" s="36"/>
    </row>
    <row r="298" spans="1:22" x14ac:dyDescent="0.25">
      <c r="A298" s="20">
        <v>297</v>
      </c>
      <c r="B298" s="21" t="s">
        <v>98</v>
      </c>
      <c r="C298" s="21" t="s">
        <v>96</v>
      </c>
      <c r="D298" s="6" t="s">
        <v>52</v>
      </c>
      <c r="E298" s="22">
        <v>3804020</v>
      </c>
      <c r="F298" s="22" t="s">
        <v>26</v>
      </c>
      <c r="G298" s="22" t="s">
        <v>22</v>
      </c>
      <c r="H298" s="14" t="s">
        <v>40</v>
      </c>
      <c r="I298" s="23">
        <v>10944.86</v>
      </c>
      <c r="J298" s="23">
        <v>10920.08</v>
      </c>
      <c r="K298" s="23">
        <v>638</v>
      </c>
      <c r="L298" s="23"/>
      <c r="M298" s="23">
        <v>2790.25</v>
      </c>
      <c r="N298" s="23">
        <v>287.47000000000003</v>
      </c>
      <c r="O298" s="23">
        <f>+Table24[[#This Row],[FoodcostBlueline]]+Table24[[#This Row],[Pepsico]]</f>
        <v>3077.7200000000003</v>
      </c>
      <c r="P298" s="24">
        <f t="shared" si="16"/>
        <v>0.28120231780031907</v>
      </c>
      <c r="Q298" s="24"/>
      <c r="R298" s="23">
        <v>2358.6999999999998</v>
      </c>
      <c r="S298" s="25">
        <f t="shared" si="17"/>
        <v>0.21550755331726487</v>
      </c>
      <c r="T298" s="36"/>
      <c r="U298" s="36">
        <f>Table24[[#This Row],[WagesPercent]]+Table24[[#This Row],[FoodCostPercent]]</f>
        <v>0.49670987111758391</v>
      </c>
      <c r="V298" s="36"/>
    </row>
    <row r="299" spans="1:22" x14ac:dyDescent="0.25">
      <c r="A299" s="20">
        <v>298</v>
      </c>
      <c r="B299" s="21" t="s">
        <v>98</v>
      </c>
      <c r="C299" s="21" t="s">
        <v>96</v>
      </c>
      <c r="D299" s="6" t="s">
        <v>52</v>
      </c>
      <c r="E299" s="22">
        <v>3804021</v>
      </c>
      <c r="F299" s="6" t="s">
        <v>27</v>
      </c>
      <c r="G299" s="6" t="s">
        <v>22</v>
      </c>
      <c r="H299" s="5" t="s">
        <v>40</v>
      </c>
      <c r="I299" s="23">
        <v>20595.939999999999</v>
      </c>
      <c r="J299" s="23">
        <v>25486.68</v>
      </c>
      <c r="K299" s="23">
        <v>1236</v>
      </c>
      <c r="L299" s="23"/>
      <c r="M299" s="23">
        <v>8582.73</v>
      </c>
      <c r="N299" s="23">
        <v>493.81</v>
      </c>
      <c r="O299" s="23">
        <f>+Table24[[#This Row],[FoodcostBlueline]]+Table24[[#This Row],[Pepsico]]</f>
        <v>9076.5399999999991</v>
      </c>
      <c r="P299" s="24">
        <f t="shared" si="16"/>
        <v>0.44069559340336006</v>
      </c>
      <c r="Q299" s="24"/>
      <c r="R299" s="23">
        <v>4492.1899999999996</v>
      </c>
      <c r="S299" s="25">
        <f t="shared" si="17"/>
        <v>0.21811046254747293</v>
      </c>
      <c r="T299" s="36"/>
      <c r="U299" s="36">
        <f>Table24[[#This Row],[WagesPercent]]+Table24[[#This Row],[FoodCostPercent]]</f>
        <v>0.65880605595083297</v>
      </c>
      <c r="V299" s="36"/>
    </row>
    <row r="300" spans="1:22" x14ac:dyDescent="0.25">
      <c r="A300" s="20">
        <v>299</v>
      </c>
      <c r="B300" s="21" t="s">
        <v>98</v>
      </c>
      <c r="C300" s="21" t="s">
        <v>96</v>
      </c>
      <c r="D300" s="6" t="s">
        <v>52</v>
      </c>
      <c r="E300" s="22">
        <v>3804022</v>
      </c>
      <c r="F300" s="22" t="s">
        <v>28</v>
      </c>
      <c r="G300" s="22" t="s">
        <v>22</v>
      </c>
      <c r="H300" s="14" t="s">
        <v>40</v>
      </c>
      <c r="I300" s="23">
        <v>12877.53</v>
      </c>
      <c r="J300" s="23">
        <v>14179.92</v>
      </c>
      <c r="K300" s="23">
        <v>753</v>
      </c>
      <c r="L300" s="23"/>
      <c r="M300" s="23">
        <v>3414.57</v>
      </c>
      <c r="N300" s="23">
        <v>417.85</v>
      </c>
      <c r="O300" s="23">
        <f>+Table24[[#This Row],[FoodcostBlueline]]+Table24[[#This Row],[Pepsico]]</f>
        <v>3832.42</v>
      </c>
      <c r="P300" s="24">
        <f t="shared" si="16"/>
        <v>0.29760520845224198</v>
      </c>
      <c r="Q300" s="24"/>
      <c r="R300" s="23">
        <v>2828.09</v>
      </c>
      <c r="S300" s="25">
        <f t="shared" si="17"/>
        <v>0.21961432044809837</v>
      </c>
      <c r="T300" s="36"/>
      <c r="U300" s="36">
        <f>Table24[[#This Row],[WagesPercent]]+Table24[[#This Row],[FoodCostPercent]]</f>
        <v>0.51721952890034029</v>
      </c>
      <c r="V300" s="36"/>
    </row>
    <row r="301" spans="1:22" x14ac:dyDescent="0.25">
      <c r="A301" s="20">
        <v>300</v>
      </c>
      <c r="B301" s="21" t="s">
        <v>98</v>
      </c>
      <c r="C301" s="21" t="s">
        <v>96</v>
      </c>
      <c r="D301" s="6" t="s">
        <v>52</v>
      </c>
      <c r="E301" s="22">
        <v>3804023</v>
      </c>
      <c r="F301" s="6" t="s">
        <v>29</v>
      </c>
      <c r="G301" s="6" t="s">
        <v>22</v>
      </c>
      <c r="H301" s="5" t="s">
        <v>40</v>
      </c>
      <c r="I301" s="23">
        <v>13436.97</v>
      </c>
      <c r="J301" s="23">
        <v>15345.22</v>
      </c>
      <c r="K301" s="23">
        <v>841</v>
      </c>
      <c r="L301" s="23"/>
      <c r="M301" s="23">
        <v>4796.6499999999996</v>
      </c>
      <c r="N301" s="23">
        <v>453.35</v>
      </c>
      <c r="O301" s="23">
        <f>+Table24[[#This Row],[FoodcostBlueline]]+Table24[[#This Row],[Pepsico]]</f>
        <v>5250</v>
      </c>
      <c r="P301" s="24">
        <f t="shared" si="16"/>
        <v>0.39071308486958001</v>
      </c>
      <c r="Q301" s="24"/>
      <c r="R301" s="23">
        <v>3153.62</v>
      </c>
      <c r="S301" s="25">
        <f t="shared" si="17"/>
        <v>0.23469725689645807</v>
      </c>
      <c r="T301" s="36"/>
      <c r="U301" s="36">
        <f>Table24[[#This Row],[WagesPercent]]+Table24[[#This Row],[FoodCostPercent]]</f>
        <v>0.62541034176603805</v>
      </c>
      <c r="V301" s="36"/>
    </row>
    <row r="302" spans="1:22" x14ac:dyDescent="0.25">
      <c r="A302" s="20">
        <v>301</v>
      </c>
      <c r="B302" s="21" t="s">
        <v>98</v>
      </c>
      <c r="C302" s="21" t="s">
        <v>96</v>
      </c>
      <c r="D302" s="6" t="s">
        <v>52</v>
      </c>
      <c r="E302" s="22">
        <v>3804024</v>
      </c>
      <c r="F302" s="22" t="s">
        <v>30</v>
      </c>
      <c r="G302" s="22" t="s">
        <v>20</v>
      </c>
      <c r="H302" s="14" t="s">
        <v>41</v>
      </c>
      <c r="I302" s="23">
        <v>10492.24</v>
      </c>
      <c r="J302" s="23">
        <v>10897.71</v>
      </c>
      <c r="K302" s="23">
        <v>626</v>
      </c>
      <c r="L302" s="23"/>
      <c r="M302" s="23">
        <f>160.08+3445.3</f>
        <v>3605.38</v>
      </c>
      <c r="N302" s="23">
        <v>265.45</v>
      </c>
      <c r="O302" s="23">
        <f>+Table24[[#This Row],[FoodcostBlueline]]+Table24[[#This Row],[Pepsico]]</f>
        <v>3870.83</v>
      </c>
      <c r="P302" s="24">
        <f t="shared" si="16"/>
        <v>0.36892312794979909</v>
      </c>
      <c r="Q302" s="24"/>
      <c r="R302" s="23">
        <f>3158.8+69.23</f>
        <v>3228.03</v>
      </c>
      <c r="S302" s="25">
        <f t="shared" si="17"/>
        <v>0.30765880307732191</v>
      </c>
      <c r="T302" s="36"/>
      <c r="U302" s="36">
        <f>Table24[[#This Row],[WagesPercent]]+Table24[[#This Row],[FoodCostPercent]]</f>
        <v>0.67658193102712105</v>
      </c>
      <c r="V302" s="36"/>
    </row>
    <row r="303" spans="1:22" x14ac:dyDescent="0.25">
      <c r="A303" s="20">
        <v>302</v>
      </c>
      <c r="B303" s="21" t="s">
        <v>98</v>
      </c>
      <c r="C303" s="21" t="s">
        <v>96</v>
      </c>
      <c r="D303" s="6" t="s">
        <v>52</v>
      </c>
      <c r="E303" s="22">
        <v>3804025</v>
      </c>
      <c r="F303" s="6" t="s">
        <v>31</v>
      </c>
      <c r="G303" s="6" t="s">
        <v>20</v>
      </c>
      <c r="H303" s="5" t="s">
        <v>41</v>
      </c>
      <c r="I303" s="23">
        <v>23248.62</v>
      </c>
      <c r="J303" s="23">
        <v>22841.759999999998</v>
      </c>
      <c r="K303" s="23">
        <v>1440</v>
      </c>
      <c r="L303" s="23"/>
      <c r="M303" s="23">
        <f>-12.35-11.76+7214.65-11.76</f>
        <v>7178.78</v>
      </c>
      <c r="N303" s="23">
        <v>515.91999999999996</v>
      </c>
      <c r="O303" s="23">
        <f>+Table24[[#This Row],[FoodcostBlueline]]+Table24[[#This Row],[Pepsico]]</f>
        <v>7694.7</v>
      </c>
      <c r="P303" s="24">
        <f t="shared" si="16"/>
        <v>0.33097448364677129</v>
      </c>
      <c r="Q303" s="24"/>
      <c r="R303" s="23">
        <v>5137.12</v>
      </c>
      <c r="S303" s="25">
        <f t="shared" si="17"/>
        <v>0.22096451316250168</v>
      </c>
      <c r="T303" s="36"/>
      <c r="U303" s="36">
        <f>Table24[[#This Row],[WagesPercent]]+Table24[[#This Row],[FoodCostPercent]]</f>
        <v>0.55193899680927294</v>
      </c>
      <c r="V303" s="36"/>
    </row>
    <row r="304" spans="1:22" x14ac:dyDescent="0.25">
      <c r="A304" s="20">
        <v>303</v>
      </c>
      <c r="B304" s="21" t="s">
        <v>98</v>
      </c>
      <c r="C304" s="21" t="s">
        <v>96</v>
      </c>
      <c r="D304" s="6" t="s">
        <v>52</v>
      </c>
      <c r="E304" s="22">
        <v>3804026</v>
      </c>
      <c r="F304" s="22" t="s">
        <v>32</v>
      </c>
      <c r="G304" s="22" t="s">
        <v>79</v>
      </c>
      <c r="H304" s="15" t="s">
        <v>41</v>
      </c>
      <c r="I304" s="23">
        <v>12631.25</v>
      </c>
      <c r="J304" s="23">
        <v>11505.63</v>
      </c>
      <c r="K304" s="23">
        <v>758</v>
      </c>
      <c r="L304" s="23"/>
      <c r="M304" s="23">
        <v>3517.62</v>
      </c>
      <c r="N304" s="23">
        <v>315.92</v>
      </c>
      <c r="O304" s="23">
        <f>+Table24[[#This Row],[FoodcostBlueline]]+Table24[[#This Row],[Pepsico]]</f>
        <v>3833.54</v>
      </c>
      <c r="P304" s="24">
        <f t="shared" si="16"/>
        <v>0.30349648688767938</v>
      </c>
      <c r="Q304" s="24"/>
      <c r="R304" s="23">
        <v>3627.98</v>
      </c>
      <c r="S304" s="25">
        <f t="shared" si="17"/>
        <v>0.28722256308758043</v>
      </c>
      <c r="T304" s="36"/>
      <c r="U304" s="36">
        <f>Table24[[#This Row],[WagesPercent]]+Table24[[#This Row],[FoodCostPercent]]</f>
        <v>0.59071904997525981</v>
      </c>
      <c r="V304" s="36"/>
    </row>
    <row r="305" spans="1:22" x14ac:dyDescent="0.25">
      <c r="A305" s="20">
        <v>304</v>
      </c>
      <c r="B305" s="21" t="s">
        <v>98</v>
      </c>
      <c r="C305" s="21" t="s">
        <v>96</v>
      </c>
      <c r="D305" s="6" t="s">
        <v>52</v>
      </c>
      <c r="E305" s="22">
        <v>3804027</v>
      </c>
      <c r="F305" s="6" t="s">
        <v>33</v>
      </c>
      <c r="G305" s="5" t="s">
        <v>43</v>
      </c>
      <c r="H305" s="5" t="s">
        <v>41</v>
      </c>
      <c r="I305" s="23">
        <v>17513.419999999998</v>
      </c>
      <c r="J305" s="23">
        <v>12033.75</v>
      </c>
      <c r="K305" s="23">
        <v>1208</v>
      </c>
      <c r="L305" s="23"/>
      <c r="M305" s="23">
        <f>5067.41-34.87</f>
        <v>5032.54</v>
      </c>
      <c r="N305" s="23">
        <v>0</v>
      </c>
      <c r="O305" s="23">
        <f>+Table24[[#This Row],[FoodcostBlueline]]+Table24[[#This Row],[Pepsico]]</f>
        <v>5032.54</v>
      </c>
      <c r="P305" s="24">
        <f t="shared" si="16"/>
        <v>0.28735335531266881</v>
      </c>
      <c r="Q305" s="24"/>
      <c r="R305" s="23">
        <f>1762.1+277+1790</f>
        <v>3829.1</v>
      </c>
      <c r="S305" s="25">
        <f t="shared" si="17"/>
        <v>0.21863805013526771</v>
      </c>
      <c r="T305" s="36"/>
      <c r="U305" s="36">
        <f>Table24[[#This Row],[WagesPercent]]+Table24[[#This Row],[FoodCostPercent]]</f>
        <v>0.50599140544793653</v>
      </c>
      <c r="V305" s="36"/>
    </row>
    <row r="306" spans="1:22" x14ac:dyDescent="0.25">
      <c r="A306" s="20">
        <v>305</v>
      </c>
      <c r="B306" s="21" t="s">
        <v>98</v>
      </c>
      <c r="C306" s="21" t="s">
        <v>96</v>
      </c>
      <c r="D306" s="6" t="s">
        <v>52</v>
      </c>
      <c r="E306" s="22">
        <v>3804029</v>
      </c>
      <c r="F306" s="22" t="s">
        <v>34</v>
      </c>
      <c r="G306" s="22" t="s">
        <v>79</v>
      </c>
      <c r="H306" s="14" t="s">
        <v>41</v>
      </c>
      <c r="I306" s="23">
        <v>10728.93</v>
      </c>
      <c r="J306" s="23">
        <v>7942.98</v>
      </c>
      <c r="K306" s="23">
        <v>687</v>
      </c>
      <c r="L306" s="23"/>
      <c r="M306" s="23">
        <v>3276.76</v>
      </c>
      <c r="N306" s="23">
        <v>0</v>
      </c>
      <c r="O306" s="23">
        <f>+Table24[[#This Row],[FoodcostBlueline]]+Table24[[#This Row],[Pepsico]]</f>
        <v>3276.76</v>
      </c>
      <c r="P306" s="24">
        <f t="shared" si="16"/>
        <v>0.30541349416950248</v>
      </c>
      <c r="Q306" s="24"/>
      <c r="R306" s="23">
        <f>210.81+2920</f>
        <v>3130.81</v>
      </c>
      <c r="S306" s="25">
        <f t="shared" si="17"/>
        <v>0.2918100873060035</v>
      </c>
      <c r="T306" s="36"/>
      <c r="U306" s="36">
        <f>Table24[[#This Row],[WagesPercent]]+Table24[[#This Row],[FoodCostPercent]]</f>
        <v>0.59722358147550603</v>
      </c>
      <c r="V306" s="36"/>
    </row>
    <row r="307" spans="1:22" x14ac:dyDescent="0.25">
      <c r="A307" s="20">
        <v>306</v>
      </c>
      <c r="B307" s="21" t="s">
        <v>98</v>
      </c>
      <c r="C307" s="21" t="s">
        <v>96</v>
      </c>
      <c r="D307" s="6" t="s">
        <v>52</v>
      </c>
      <c r="E307" s="22">
        <v>3804030</v>
      </c>
      <c r="F307" s="6" t="s">
        <v>35</v>
      </c>
      <c r="G307" s="6" t="s">
        <v>5</v>
      </c>
      <c r="H307" s="5" t="s">
        <v>40</v>
      </c>
      <c r="I307" s="23">
        <v>9544.68</v>
      </c>
      <c r="J307" s="23">
        <v>8401.7099999999991</v>
      </c>
      <c r="K307" s="23">
        <v>565</v>
      </c>
      <c r="L307" s="23"/>
      <c r="M307" s="23">
        <v>2753.17</v>
      </c>
      <c r="N307" s="23">
        <v>182.75</v>
      </c>
      <c r="O307" s="23">
        <f>+Table24[[#This Row],[FoodcostBlueline]]+Table24[[#This Row],[Pepsico]]</f>
        <v>2935.92</v>
      </c>
      <c r="P307" s="24">
        <f t="shared" si="16"/>
        <v>0.30759753077106827</v>
      </c>
      <c r="Q307" s="24"/>
      <c r="R307" s="23">
        <v>2585.75</v>
      </c>
      <c r="S307" s="25">
        <f t="shared" si="17"/>
        <v>0.27091007765582503</v>
      </c>
      <c r="T307" s="36"/>
      <c r="U307" s="36">
        <f>Table24[[#This Row],[WagesPercent]]+Table24[[#This Row],[FoodCostPercent]]</f>
        <v>0.5785076084268933</v>
      </c>
      <c r="V307" s="36"/>
    </row>
    <row r="308" spans="1:22" x14ac:dyDescent="0.25">
      <c r="A308" s="20">
        <v>307</v>
      </c>
      <c r="B308" s="21" t="s">
        <v>98</v>
      </c>
      <c r="C308" s="21" t="s">
        <v>96</v>
      </c>
      <c r="D308" s="6" t="s">
        <v>52</v>
      </c>
      <c r="E308" s="22">
        <v>3804031</v>
      </c>
      <c r="F308" s="22" t="s">
        <v>36</v>
      </c>
      <c r="G308" s="22" t="s">
        <v>5</v>
      </c>
      <c r="H308" s="14" t="s">
        <v>40</v>
      </c>
      <c r="I308" s="23">
        <v>10813.59</v>
      </c>
      <c r="J308" s="23">
        <v>9042.9500000000007</v>
      </c>
      <c r="K308" s="23">
        <v>669</v>
      </c>
      <c r="L308" s="23"/>
      <c r="M308" s="23">
        <v>2744.55</v>
      </c>
      <c r="N308" s="23">
        <v>212.4</v>
      </c>
      <c r="O308" s="23">
        <f>+Table24[[#This Row],[FoodcostBlueline]]+Table24[[#This Row],[Pepsico]]</f>
        <v>2956.9500000000003</v>
      </c>
      <c r="P308" s="24">
        <f t="shared" si="16"/>
        <v>0.27344757846376644</v>
      </c>
      <c r="Q308" s="24"/>
      <c r="R308" s="37">
        <f>2198.8+880</f>
        <v>3078.8</v>
      </c>
      <c r="S308" s="25">
        <f t="shared" si="17"/>
        <v>0.28471580668399671</v>
      </c>
      <c r="T308" s="36"/>
      <c r="U308" s="36">
        <f>Table24[[#This Row],[WagesPercent]]+Table24[[#This Row],[FoodCostPercent]]</f>
        <v>0.5581633851477632</v>
      </c>
      <c r="V308" s="36"/>
    </row>
    <row r="309" spans="1:22" x14ac:dyDescent="0.25">
      <c r="A309" s="20">
        <v>308</v>
      </c>
      <c r="B309" s="21" t="s">
        <v>98</v>
      </c>
      <c r="C309" s="21" t="s">
        <v>96</v>
      </c>
      <c r="D309" s="6" t="s">
        <v>52</v>
      </c>
      <c r="E309" s="22">
        <v>3804032</v>
      </c>
      <c r="F309" s="6" t="s">
        <v>37</v>
      </c>
      <c r="G309" s="6" t="s">
        <v>5</v>
      </c>
      <c r="H309" s="5" t="s">
        <v>40</v>
      </c>
      <c r="I309" s="23">
        <v>10152.59</v>
      </c>
      <c r="J309" s="23">
        <v>4994.1000000000004</v>
      </c>
      <c r="K309" s="23">
        <v>600</v>
      </c>
      <c r="L309" s="23"/>
      <c r="M309" s="23">
        <f>2235.98-24.7</f>
        <v>2211.2800000000002</v>
      </c>
      <c r="N309" s="23">
        <v>0</v>
      </c>
      <c r="O309" s="23">
        <f>+Table24[[#This Row],[FoodcostBlueline]]+Table24[[#This Row],[Pepsico]]</f>
        <v>2211.2800000000002</v>
      </c>
      <c r="P309" s="24">
        <f t="shared" si="16"/>
        <v>0.21780452081685561</v>
      </c>
      <c r="Q309" s="24"/>
      <c r="R309" s="23">
        <f>1350+850+137</f>
        <v>2337</v>
      </c>
      <c r="S309" s="25">
        <f t="shared" si="17"/>
        <v>0.23018756790139264</v>
      </c>
      <c r="T309" s="36"/>
      <c r="U309" s="36">
        <f>Table24[[#This Row],[WagesPercent]]+Table24[[#This Row],[FoodCostPercent]]</f>
        <v>0.44799208871824825</v>
      </c>
      <c r="V309" s="36"/>
    </row>
    <row r="310" spans="1:22" x14ac:dyDescent="0.25">
      <c r="A310" s="20">
        <v>309</v>
      </c>
      <c r="B310" s="21" t="s">
        <v>98</v>
      </c>
      <c r="C310" s="21" t="s">
        <v>96</v>
      </c>
      <c r="D310" s="6" t="s">
        <v>52</v>
      </c>
      <c r="E310" s="22">
        <v>3804033</v>
      </c>
      <c r="F310" s="22" t="s">
        <v>38</v>
      </c>
      <c r="G310" s="22" t="s">
        <v>5</v>
      </c>
      <c r="H310" s="14" t="s">
        <v>40</v>
      </c>
      <c r="I310" s="23">
        <v>7781.33</v>
      </c>
      <c r="J310" s="23">
        <v>6829.49</v>
      </c>
      <c r="K310" s="23">
        <v>539</v>
      </c>
      <c r="L310" s="23"/>
      <c r="M310" s="23">
        <v>2345.5100000000002</v>
      </c>
      <c r="N310" s="23">
        <v>0</v>
      </c>
      <c r="O310" s="23">
        <f>+Table24[[#This Row],[FoodcostBlueline]]+Table24[[#This Row],[Pepsico]]</f>
        <v>2345.5100000000002</v>
      </c>
      <c r="P310" s="24">
        <f t="shared" si="16"/>
        <v>0.30142790499824584</v>
      </c>
      <c r="Q310" s="24"/>
      <c r="R310" s="23">
        <f>1350+850+165.58</f>
        <v>2365.58</v>
      </c>
      <c r="S310" s="25">
        <f t="shared" si="17"/>
        <v>0.30400715558908309</v>
      </c>
      <c r="T310" s="36"/>
      <c r="U310" s="36">
        <f>Table24[[#This Row],[WagesPercent]]+Table24[[#This Row],[FoodCostPercent]]</f>
        <v>0.60543506058732888</v>
      </c>
      <c r="V310" s="36"/>
    </row>
    <row r="311" spans="1:22" x14ac:dyDescent="0.25">
      <c r="A311" s="20">
        <v>310</v>
      </c>
      <c r="B311" s="21" t="s">
        <v>98</v>
      </c>
      <c r="C311" s="21" t="s">
        <v>96</v>
      </c>
      <c r="D311" s="6" t="s">
        <v>52</v>
      </c>
      <c r="E311" s="22">
        <v>3804034</v>
      </c>
      <c r="F311" s="6" t="s">
        <v>53</v>
      </c>
      <c r="G311" s="22" t="s">
        <v>79</v>
      </c>
      <c r="H311" s="5" t="s">
        <v>41</v>
      </c>
      <c r="I311" s="23">
        <v>8379.5</v>
      </c>
      <c r="J311" s="23">
        <v>0</v>
      </c>
      <c r="K311" s="23">
        <v>497</v>
      </c>
      <c r="L311" s="23"/>
      <c r="M311" s="23">
        <v>2000.58</v>
      </c>
      <c r="N311" s="23">
        <v>0</v>
      </c>
      <c r="O311" s="23">
        <f>+Table24[[#This Row],[FoodcostBlueline]]+Table24[[#This Row],[Pepsico]]</f>
        <v>2000.58</v>
      </c>
      <c r="P311" s="24">
        <f t="shared" si="16"/>
        <v>0.23874694194164328</v>
      </c>
      <c r="Q311" s="24"/>
      <c r="R311" s="23">
        <f>314.71+2400</f>
        <v>2714.71</v>
      </c>
      <c r="S311" s="25">
        <f t="shared" si="17"/>
        <v>0.32397040396205024</v>
      </c>
      <c r="T311" s="36"/>
      <c r="U311" s="36">
        <f>Table24[[#This Row],[WagesPercent]]+Table24[[#This Row],[FoodCostPercent]]</f>
        <v>0.56271734590369349</v>
      </c>
      <c r="V311" s="36"/>
    </row>
    <row r="312" spans="1:22" x14ac:dyDescent="0.25">
      <c r="A312" s="20">
        <v>311</v>
      </c>
      <c r="B312" s="21" t="s">
        <v>99</v>
      </c>
      <c r="C312" s="21" t="s">
        <v>96</v>
      </c>
      <c r="D312" s="6" t="s">
        <v>54</v>
      </c>
      <c r="E312" s="6">
        <v>3804001</v>
      </c>
      <c r="F312" s="6" t="s">
        <v>4</v>
      </c>
      <c r="G312" s="6" t="s">
        <v>5</v>
      </c>
      <c r="H312" s="6" t="s">
        <v>40</v>
      </c>
      <c r="I312" s="23">
        <v>27238.18</v>
      </c>
      <c r="J312" s="23">
        <v>31489.83</v>
      </c>
      <c r="K312" s="23">
        <v>1809</v>
      </c>
      <c r="L312" s="23"/>
      <c r="M312" s="23">
        <f>7885.8-22.03</f>
        <v>7863.77</v>
      </c>
      <c r="N312" s="23">
        <v>0</v>
      </c>
      <c r="O312" s="23">
        <f>+Table24[[#This Row],[FoodcostBlueline]]+Table24[[#This Row],[Pepsico]]</f>
        <v>7863.77</v>
      </c>
      <c r="P312" s="24">
        <f t="shared" si="16"/>
        <v>0.28870394424297074</v>
      </c>
      <c r="Q312" s="24"/>
      <c r="R312" s="23">
        <f>5209.97+165.58</f>
        <v>5375.55</v>
      </c>
      <c r="S312" s="25">
        <f t="shared" si="17"/>
        <v>0.19735349424961579</v>
      </c>
      <c r="T312" s="36"/>
      <c r="U312" s="36">
        <f>Table24[[#This Row],[WagesPercent]]+Table24[[#This Row],[FoodCostPercent]]</f>
        <v>0.48605743849258654</v>
      </c>
      <c r="V312" s="36"/>
    </row>
    <row r="313" spans="1:22" x14ac:dyDescent="0.25">
      <c r="A313" s="20">
        <v>312</v>
      </c>
      <c r="B313" s="21" t="s">
        <v>99</v>
      </c>
      <c r="C313" s="21" t="s">
        <v>96</v>
      </c>
      <c r="D313" s="6" t="s">
        <v>54</v>
      </c>
      <c r="E313" s="6">
        <v>3804002</v>
      </c>
      <c r="F313" s="6" t="s">
        <v>6</v>
      </c>
      <c r="G313" s="6" t="s">
        <v>7</v>
      </c>
      <c r="H313" s="6" t="s">
        <v>41</v>
      </c>
      <c r="I313" s="23">
        <v>12127.57</v>
      </c>
      <c r="J313" s="23">
        <v>14121.09</v>
      </c>
      <c r="K313" s="23">
        <v>1044</v>
      </c>
      <c r="L313" s="23"/>
      <c r="M313" s="23">
        <v>3884.43</v>
      </c>
      <c r="N313" s="23">
        <v>524.66</v>
      </c>
      <c r="O313" s="23">
        <f>+Table24[[#This Row],[FoodcostBlueline]]+Table24[[#This Row],[Pepsico]]</f>
        <v>4409.09</v>
      </c>
      <c r="P313" s="24">
        <f t="shared" si="16"/>
        <v>0.36355922909535876</v>
      </c>
      <c r="Q313" s="24"/>
      <c r="R313" s="23">
        <v>3076.68</v>
      </c>
      <c r="S313" s="25">
        <f t="shared" si="17"/>
        <v>0.25369303166256718</v>
      </c>
      <c r="T313" s="36"/>
      <c r="U313" s="36">
        <f>Table24[[#This Row],[WagesPercent]]+Table24[[#This Row],[FoodCostPercent]]</f>
        <v>0.61725226075792594</v>
      </c>
      <c r="V313" s="36"/>
    </row>
    <row r="314" spans="1:22" x14ac:dyDescent="0.25">
      <c r="A314" s="20">
        <v>313</v>
      </c>
      <c r="B314" s="21" t="s">
        <v>99</v>
      </c>
      <c r="C314" s="21" t="s">
        <v>96</v>
      </c>
      <c r="D314" s="6" t="s">
        <v>54</v>
      </c>
      <c r="E314" s="6">
        <v>3804003</v>
      </c>
      <c r="F314" s="6" t="s">
        <v>8</v>
      </c>
      <c r="G314" s="6" t="s">
        <v>7</v>
      </c>
      <c r="H314" s="6" t="s">
        <v>41</v>
      </c>
      <c r="I314" s="23">
        <v>12154.83</v>
      </c>
      <c r="J314" s="23">
        <v>9012.14</v>
      </c>
      <c r="K314" s="23">
        <v>775</v>
      </c>
      <c r="L314" s="23"/>
      <c r="M314" s="23">
        <f>393.57+4099.65</f>
        <v>4493.2199999999993</v>
      </c>
      <c r="N314" s="23">
        <v>365.45</v>
      </c>
      <c r="O314" s="23">
        <f>+Table24[[#This Row],[FoodcostBlueline]]+Table24[[#This Row],[Pepsico]]</f>
        <v>4858.6699999999992</v>
      </c>
      <c r="P314" s="24">
        <f t="shared" si="16"/>
        <v>0.39973162931937339</v>
      </c>
      <c r="Q314" s="24"/>
      <c r="R314" s="23">
        <f>2922.06+50</f>
        <v>2972.06</v>
      </c>
      <c r="S314" s="25">
        <f t="shared" si="17"/>
        <v>0.24451678879918518</v>
      </c>
      <c r="T314" s="36"/>
      <c r="U314" s="36">
        <f>Table24[[#This Row],[WagesPercent]]+Table24[[#This Row],[FoodCostPercent]]</f>
        <v>0.6442484181185586</v>
      </c>
      <c r="V314" s="36"/>
    </row>
    <row r="315" spans="1:22" x14ac:dyDescent="0.25">
      <c r="A315" s="20">
        <v>314</v>
      </c>
      <c r="B315" s="21" t="s">
        <v>99</v>
      </c>
      <c r="C315" s="21" t="s">
        <v>96</v>
      </c>
      <c r="D315" s="6" t="s">
        <v>54</v>
      </c>
      <c r="E315" s="6">
        <v>3804004</v>
      </c>
      <c r="F315" s="6" t="s">
        <v>9</v>
      </c>
      <c r="G315" s="6" t="s">
        <v>7</v>
      </c>
      <c r="H315" s="6" t="s">
        <v>41</v>
      </c>
      <c r="I315" s="23">
        <v>15365.97</v>
      </c>
      <c r="J315" s="23">
        <v>16097.2</v>
      </c>
      <c r="K315" s="23">
        <v>1004</v>
      </c>
      <c r="L315" s="23"/>
      <c r="M315" s="23">
        <v>4857.91</v>
      </c>
      <c r="N315" s="23">
        <v>680.76</v>
      </c>
      <c r="O315" s="23">
        <f>+Table24[[#This Row],[FoodcostBlueline]]+Table24[[#This Row],[Pepsico]]</f>
        <v>5538.67</v>
      </c>
      <c r="P315" s="24">
        <f t="shared" si="16"/>
        <v>0.36045039785968608</v>
      </c>
      <c r="Q315" s="24"/>
      <c r="R315" s="23">
        <v>3525.37</v>
      </c>
      <c r="S315" s="25">
        <f t="shared" si="17"/>
        <v>0.22942710417890963</v>
      </c>
      <c r="T315" s="36"/>
      <c r="U315" s="36">
        <f>Table24[[#This Row],[WagesPercent]]+Table24[[#This Row],[FoodCostPercent]]</f>
        <v>0.58987750203859568</v>
      </c>
      <c r="V315" s="36"/>
    </row>
    <row r="316" spans="1:22" x14ac:dyDescent="0.25">
      <c r="A316" s="20">
        <v>315</v>
      </c>
      <c r="B316" s="21" t="s">
        <v>99</v>
      </c>
      <c r="C316" s="21" t="s">
        <v>96</v>
      </c>
      <c r="D316" s="6" t="s">
        <v>54</v>
      </c>
      <c r="E316" s="6">
        <v>3804005</v>
      </c>
      <c r="F316" s="6" t="s">
        <v>10</v>
      </c>
      <c r="G316" s="6" t="s">
        <v>7</v>
      </c>
      <c r="H316" s="6" t="s">
        <v>41</v>
      </c>
      <c r="I316" s="23">
        <v>13160.83</v>
      </c>
      <c r="J316" s="23">
        <v>14989.41</v>
      </c>
      <c r="K316" s="23">
        <v>809</v>
      </c>
      <c r="L316" s="23"/>
      <c r="M316" s="23">
        <v>3880.88</v>
      </c>
      <c r="N316" s="23">
        <v>559.9</v>
      </c>
      <c r="O316" s="23">
        <f>+Table24[[#This Row],[FoodcostBlueline]]+Table24[[#This Row],[Pepsico]]</f>
        <v>4440.78</v>
      </c>
      <c r="P316" s="24">
        <f t="shared" si="16"/>
        <v>0.33742400745241752</v>
      </c>
      <c r="Q316" s="24"/>
      <c r="R316" s="23">
        <v>3363.17</v>
      </c>
      <c r="S316" s="25">
        <f t="shared" si="17"/>
        <v>0.25554391326382914</v>
      </c>
      <c r="T316" s="36"/>
      <c r="U316" s="36">
        <f>Table24[[#This Row],[WagesPercent]]+Table24[[#This Row],[FoodCostPercent]]</f>
        <v>0.5929679207162466</v>
      </c>
      <c r="V316" s="36"/>
    </row>
    <row r="317" spans="1:22" x14ac:dyDescent="0.25">
      <c r="A317" s="20">
        <v>316</v>
      </c>
      <c r="B317" s="21" t="s">
        <v>99</v>
      </c>
      <c r="C317" s="21" t="s">
        <v>96</v>
      </c>
      <c r="D317" s="6" t="s">
        <v>54</v>
      </c>
      <c r="E317" s="6">
        <v>3804006</v>
      </c>
      <c r="F317" s="6" t="s">
        <v>11</v>
      </c>
      <c r="G317" s="6" t="s">
        <v>7</v>
      </c>
      <c r="H317" s="6" t="s">
        <v>41</v>
      </c>
      <c r="I317" s="23">
        <v>8323.4500000000007</v>
      </c>
      <c r="J317" s="23">
        <v>11138.19</v>
      </c>
      <c r="K317" s="23">
        <v>607</v>
      </c>
      <c r="L317" s="23"/>
      <c r="M317" s="23">
        <f>2960.62+104.18</f>
        <v>3064.7999999999997</v>
      </c>
      <c r="N317" s="23">
        <v>396.56</v>
      </c>
      <c r="O317" s="23">
        <f>+Table24[[#This Row],[FoodcostBlueline]]+Table24[[#This Row],[Pepsico]]</f>
        <v>3461.3599999999997</v>
      </c>
      <c r="P317" s="24">
        <f t="shared" si="16"/>
        <v>0.41585640569715676</v>
      </c>
      <c r="Q317" s="24"/>
      <c r="R317" s="23">
        <v>1901.45</v>
      </c>
      <c r="S317" s="25">
        <f t="shared" si="17"/>
        <v>0.22844493569373275</v>
      </c>
      <c r="T317" s="36"/>
      <c r="U317" s="36">
        <f>Table24[[#This Row],[WagesPercent]]+Table24[[#This Row],[FoodCostPercent]]</f>
        <v>0.64430134139088957</v>
      </c>
      <c r="V317" s="36"/>
    </row>
    <row r="318" spans="1:22" x14ac:dyDescent="0.25">
      <c r="A318" s="20">
        <v>317</v>
      </c>
      <c r="B318" s="21" t="s">
        <v>99</v>
      </c>
      <c r="C318" s="21" t="s">
        <v>96</v>
      </c>
      <c r="D318" s="6" t="s">
        <v>54</v>
      </c>
      <c r="E318" s="6">
        <v>3804008</v>
      </c>
      <c r="F318" s="6" t="s">
        <v>12</v>
      </c>
      <c r="G318" s="6" t="s">
        <v>42</v>
      </c>
      <c r="H318" s="6" t="s">
        <v>41</v>
      </c>
      <c r="I318" s="23">
        <v>22787.71</v>
      </c>
      <c r="J318" s="23">
        <v>21159.06</v>
      </c>
      <c r="K318" s="23">
        <v>1360</v>
      </c>
      <c r="L318" s="23"/>
      <c r="M318" s="23">
        <v>6925.49</v>
      </c>
      <c r="N318" s="23">
        <v>0</v>
      </c>
      <c r="O318" s="23">
        <f>+Table24[[#This Row],[FoodcostBlueline]]+Table24[[#This Row],[Pepsico]]</f>
        <v>6925.49</v>
      </c>
      <c r="P318" s="24">
        <f t="shared" si="16"/>
        <v>0.30391338137969987</v>
      </c>
      <c r="Q318" s="24"/>
      <c r="R318" s="23">
        <f>427.56+5036</f>
        <v>5463.56</v>
      </c>
      <c r="S318" s="25">
        <f t="shared" si="17"/>
        <v>0.23975906310901801</v>
      </c>
      <c r="T318" s="36"/>
      <c r="U318" s="36">
        <f>Table24[[#This Row],[WagesPercent]]+Table24[[#This Row],[FoodCostPercent]]</f>
        <v>0.54367244448871788</v>
      </c>
      <c r="V318" s="36"/>
    </row>
    <row r="319" spans="1:22" x14ac:dyDescent="0.25">
      <c r="A319" s="20">
        <v>318</v>
      </c>
      <c r="B319" s="21" t="s">
        <v>99</v>
      </c>
      <c r="C319" s="21" t="s">
        <v>96</v>
      </c>
      <c r="D319" s="6" t="s">
        <v>54</v>
      </c>
      <c r="E319" s="6">
        <v>3804009</v>
      </c>
      <c r="F319" s="6" t="s">
        <v>13</v>
      </c>
      <c r="G319" s="6" t="s">
        <v>42</v>
      </c>
      <c r="H319" s="6" t="s">
        <v>41</v>
      </c>
      <c r="I319" s="23">
        <v>11993.73</v>
      </c>
      <c r="J319" s="23">
        <v>15152.14</v>
      </c>
      <c r="K319" s="23">
        <v>739</v>
      </c>
      <c r="L319" s="23"/>
      <c r="M319" s="23">
        <v>4508.33</v>
      </c>
      <c r="N319" s="23">
        <v>322.05</v>
      </c>
      <c r="O319" s="23">
        <f>+Table24[[#This Row],[FoodcostBlueline]]+Table24[[#This Row],[Pepsico]]</f>
        <v>4830.38</v>
      </c>
      <c r="P319" s="24">
        <f t="shared" si="16"/>
        <v>0.40274209941361028</v>
      </c>
      <c r="Q319" s="24"/>
      <c r="R319" s="23">
        <v>3471</v>
      </c>
      <c r="S319" s="25">
        <f t="shared" si="17"/>
        <v>0.28940121213333969</v>
      </c>
      <c r="T319" s="36"/>
      <c r="U319" s="36">
        <f>Table24[[#This Row],[WagesPercent]]+Table24[[#This Row],[FoodCostPercent]]</f>
        <v>0.69214331154694997</v>
      </c>
      <c r="V319" s="36"/>
    </row>
    <row r="320" spans="1:22" x14ac:dyDescent="0.25">
      <c r="A320" s="20">
        <v>319</v>
      </c>
      <c r="B320" s="21" t="s">
        <v>99</v>
      </c>
      <c r="C320" s="21" t="s">
        <v>96</v>
      </c>
      <c r="D320" s="6" t="s">
        <v>54</v>
      </c>
      <c r="E320" s="6">
        <v>3804010</v>
      </c>
      <c r="F320" s="6" t="s">
        <v>14</v>
      </c>
      <c r="G320" s="6" t="s">
        <v>42</v>
      </c>
      <c r="H320" s="6" t="s">
        <v>41</v>
      </c>
      <c r="I320" s="23">
        <v>8436.4500000000007</v>
      </c>
      <c r="J320" s="23">
        <v>8787.42</v>
      </c>
      <c r="K320" s="23">
        <v>460</v>
      </c>
      <c r="L320" s="23"/>
      <c r="M320" s="23">
        <v>2587.66</v>
      </c>
      <c r="N320" s="23">
        <v>0</v>
      </c>
      <c r="O320" s="23">
        <f>+Table24[[#This Row],[FoodcostBlueline]]+Table24[[#This Row],[Pepsico]]</f>
        <v>2587.66</v>
      </c>
      <c r="P320" s="24">
        <f t="shared" si="16"/>
        <v>0.30672379970248143</v>
      </c>
      <c r="Q320" s="24"/>
      <c r="R320" s="23">
        <v>2148</v>
      </c>
      <c r="S320" s="25">
        <f t="shared" si="17"/>
        <v>0.25460946251089023</v>
      </c>
      <c r="T320" s="36"/>
      <c r="U320" s="36">
        <f>Table24[[#This Row],[WagesPercent]]+Table24[[#This Row],[FoodCostPercent]]</f>
        <v>0.56133326221337165</v>
      </c>
      <c r="V320" s="36"/>
    </row>
    <row r="321" spans="1:22" x14ac:dyDescent="0.25">
      <c r="A321" s="20">
        <v>320</v>
      </c>
      <c r="B321" s="21" t="s">
        <v>99</v>
      </c>
      <c r="C321" s="21" t="s">
        <v>96</v>
      </c>
      <c r="D321" s="6" t="s">
        <v>54</v>
      </c>
      <c r="E321" s="6">
        <v>3804011</v>
      </c>
      <c r="F321" s="6" t="s">
        <v>15</v>
      </c>
      <c r="G321" s="6" t="s">
        <v>79</v>
      </c>
      <c r="H321" s="6" t="s">
        <v>41</v>
      </c>
      <c r="I321" s="23">
        <v>25542.47</v>
      </c>
      <c r="J321" s="23">
        <v>23719.09</v>
      </c>
      <c r="K321" s="23">
        <v>1625</v>
      </c>
      <c r="L321" s="23"/>
      <c r="M321" s="23">
        <f>8368.97-37.44</f>
        <v>8331.5299999999988</v>
      </c>
      <c r="N321" s="23">
        <v>596.91999999999996</v>
      </c>
      <c r="O321" s="23">
        <f>+Table24[[#This Row],[FoodcostBlueline]]+Table24[[#This Row],[Pepsico]]</f>
        <v>8928.4499999999989</v>
      </c>
      <c r="P321" s="24">
        <f t="shared" si="16"/>
        <v>0.34955311682856038</v>
      </c>
      <c r="Q321" s="24"/>
      <c r="R321" s="23">
        <f>3510.38+1096.15</f>
        <v>4606.5300000000007</v>
      </c>
      <c r="S321" s="25">
        <f t="shared" si="17"/>
        <v>0.18034786768859865</v>
      </c>
      <c r="T321" s="36"/>
      <c r="U321" s="36">
        <f>Table24[[#This Row],[WagesPercent]]+Table24[[#This Row],[FoodCostPercent]]</f>
        <v>0.52990098451715906</v>
      </c>
      <c r="V321" s="36"/>
    </row>
    <row r="322" spans="1:22" x14ac:dyDescent="0.25">
      <c r="A322" s="20">
        <v>321</v>
      </c>
      <c r="B322" s="21" t="s">
        <v>99</v>
      </c>
      <c r="C322" s="21" t="s">
        <v>96</v>
      </c>
      <c r="D322" s="6" t="s">
        <v>54</v>
      </c>
      <c r="E322" s="6">
        <v>3804013</v>
      </c>
      <c r="F322" s="6" t="s">
        <v>17</v>
      </c>
      <c r="G322" s="6" t="s">
        <v>79</v>
      </c>
      <c r="H322" s="6" t="s">
        <v>41</v>
      </c>
      <c r="I322" s="23">
        <v>8410.92</v>
      </c>
      <c r="J322" s="23">
        <v>9103.69</v>
      </c>
      <c r="K322" s="23">
        <v>530</v>
      </c>
      <c r="L322" s="23"/>
      <c r="M322" s="23">
        <v>2595.9</v>
      </c>
      <c r="N322" s="23">
        <v>189.09</v>
      </c>
      <c r="O322" s="23">
        <f>+Table24[[#This Row],[FoodcostBlueline]]+Table24[[#This Row],[Pepsico]]</f>
        <v>2784.9900000000002</v>
      </c>
      <c r="P322" s="24">
        <f t="shared" ref="P322:P385" si="18">IFERROR(((M322+N322)/I322),0)</f>
        <v>0.33111597780028823</v>
      </c>
      <c r="Q322" s="24"/>
      <c r="R322" s="23">
        <v>2307.6799999999998</v>
      </c>
      <c r="S322" s="25">
        <f t="shared" ref="S322:S385" si="19">+R322/I322</f>
        <v>0.27436713225188203</v>
      </c>
      <c r="T322" s="36"/>
      <c r="U322" s="36">
        <f>Table24[[#This Row],[WagesPercent]]+Table24[[#This Row],[FoodCostPercent]]</f>
        <v>0.60548311005217026</v>
      </c>
      <c r="V322" s="36"/>
    </row>
    <row r="323" spans="1:22" x14ac:dyDescent="0.25">
      <c r="A323" s="20">
        <v>322</v>
      </c>
      <c r="B323" s="21" t="s">
        <v>99</v>
      </c>
      <c r="C323" s="21" t="s">
        <v>96</v>
      </c>
      <c r="D323" s="6" t="s">
        <v>54</v>
      </c>
      <c r="E323" s="6">
        <v>3804014</v>
      </c>
      <c r="F323" s="6" t="s">
        <v>18</v>
      </c>
      <c r="G323" s="6" t="s">
        <v>79</v>
      </c>
      <c r="H323" s="6" t="s">
        <v>41</v>
      </c>
      <c r="I323" s="23">
        <v>8145.84</v>
      </c>
      <c r="J323" s="23">
        <v>9478.34</v>
      </c>
      <c r="K323" s="23">
        <v>500</v>
      </c>
      <c r="L323" s="23"/>
      <c r="M323" s="23">
        <v>2424.98</v>
      </c>
      <c r="N323" s="23">
        <v>0</v>
      </c>
      <c r="O323" s="23">
        <f>+Table24[[#This Row],[FoodcostBlueline]]+Table24[[#This Row],[Pepsico]]</f>
        <v>2424.98</v>
      </c>
      <c r="P323" s="24">
        <f t="shared" si="18"/>
        <v>0.29769551083743356</v>
      </c>
      <c r="Q323" s="24"/>
      <c r="R323" s="23">
        <v>1892.5</v>
      </c>
      <c r="S323" s="25">
        <f t="shared" si="19"/>
        <v>0.23232717558901231</v>
      </c>
      <c r="T323" s="36"/>
      <c r="U323" s="36">
        <f>Table24[[#This Row],[WagesPercent]]+Table24[[#This Row],[FoodCostPercent]]</f>
        <v>0.5300226864264459</v>
      </c>
      <c r="V323" s="36"/>
    </row>
    <row r="324" spans="1:22" x14ac:dyDescent="0.25">
      <c r="A324" s="20">
        <v>323</v>
      </c>
      <c r="B324" s="21" t="s">
        <v>99</v>
      </c>
      <c r="C324" s="21" t="s">
        <v>96</v>
      </c>
      <c r="D324" s="6" t="s">
        <v>54</v>
      </c>
      <c r="E324" s="6">
        <v>3804015</v>
      </c>
      <c r="F324" s="6" t="s">
        <v>19</v>
      </c>
      <c r="G324" s="6" t="s">
        <v>20</v>
      </c>
      <c r="H324" s="6" t="s">
        <v>41</v>
      </c>
      <c r="I324" s="23">
        <v>13911.05</v>
      </c>
      <c r="J324" s="23">
        <v>18516.86</v>
      </c>
      <c r="K324" s="23">
        <v>896</v>
      </c>
      <c r="L324" s="23"/>
      <c r="M324" s="23">
        <f>-24.7+3848.23</f>
        <v>3823.53</v>
      </c>
      <c r="N324" s="23">
        <v>317.70999999999998</v>
      </c>
      <c r="O324" s="23">
        <f>+Table24[[#This Row],[FoodcostBlueline]]+Table24[[#This Row],[Pepsico]]</f>
        <v>4141.24</v>
      </c>
      <c r="P324" s="24">
        <f t="shared" si="18"/>
        <v>0.29769427900841416</v>
      </c>
      <c r="Q324" s="24"/>
      <c r="R324" s="23">
        <v>3544.91</v>
      </c>
      <c r="S324" s="25">
        <f t="shared" si="19"/>
        <v>0.25482691816936898</v>
      </c>
      <c r="T324" s="36"/>
      <c r="U324" s="36">
        <f>Table24[[#This Row],[WagesPercent]]+Table24[[#This Row],[FoodCostPercent]]</f>
        <v>0.55252119717778314</v>
      </c>
      <c r="V324" s="36"/>
    </row>
    <row r="325" spans="1:22" x14ac:dyDescent="0.25">
      <c r="A325" s="20">
        <v>324</v>
      </c>
      <c r="B325" s="21" t="s">
        <v>99</v>
      </c>
      <c r="C325" s="21" t="s">
        <v>96</v>
      </c>
      <c r="D325" s="6" t="s">
        <v>54</v>
      </c>
      <c r="E325" s="6">
        <v>3804016</v>
      </c>
      <c r="F325" s="6" t="s">
        <v>21</v>
      </c>
      <c r="G325" s="6" t="s">
        <v>22</v>
      </c>
      <c r="H325" s="6" t="s">
        <v>40</v>
      </c>
      <c r="I325" s="23">
        <v>11867.01</v>
      </c>
      <c r="J325" s="23">
        <v>16415.080000000002</v>
      </c>
      <c r="K325" s="23">
        <v>732</v>
      </c>
      <c r="L325" s="23"/>
      <c r="M325" s="23">
        <f>4451.92-37.05</f>
        <v>4414.87</v>
      </c>
      <c r="N325" s="23">
        <v>227.34</v>
      </c>
      <c r="O325" s="23">
        <f>+Table24[[#This Row],[FoodcostBlueline]]+Table24[[#This Row],[Pepsico]]</f>
        <v>4642.21</v>
      </c>
      <c r="P325" s="24">
        <f t="shared" si="18"/>
        <v>0.39118615388375</v>
      </c>
      <c r="Q325" s="24"/>
      <c r="R325" s="23">
        <v>2603.6</v>
      </c>
      <c r="S325" s="25">
        <f t="shared" si="19"/>
        <v>0.21939814662665658</v>
      </c>
      <c r="T325" s="36"/>
      <c r="U325" s="36">
        <f>Table24[[#This Row],[WagesPercent]]+Table24[[#This Row],[FoodCostPercent]]</f>
        <v>0.61058430051040657</v>
      </c>
      <c r="V325" s="36"/>
    </row>
    <row r="326" spans="1:22" x14ac:dyDescent="0.25">
      <c r="A326" s="20">
        <v>325</v>
      </c>
      <c r="B326" s="21" t="s">
        <v>99</v>
      </c>
      <c r="C326" s="21" t="s">
        <v>96</v>
      </c>
      <c r="D326" s="6" t="s">
        <v>54</v>
      </c>
      <c r="E326" s="6">
        <v>3804017</v>
      </c>
      <c r="F326" s="6" t="s">
        <v>23</v>
      </c>
      <c r="G326" s="6" t="s">
        <v>22</v>
      </c>
      <c r="H326" s="6" t="s">
        <v>40</v>
      </c>
      <c r="I326" s="23">
        <v>16201.66</v>
      </c>
      <c r="J326" s="23">
        <v>23890.74</v>
      </c>
      <c r="K326" s="23">
        <v>1013</v>
      </c>
      <c r="L326" s="23"/>
      <c r="M326" s="23">
        <v>5489.51</v>
      </c>
      <c r="N326" s="23">
        <v>0</v>
      </c>
      <c r="O326" s="23">
        <f>+Table24[[#This Row],[FoodcostBlueline]]+Table24[[#This Row],[Pepsico]]</f>
        <v>5489.51</v>
      </c>
      <c r="P326" s="24">
        <f t="shared" si="18"/>
        <v>0.33882392298073161</v>
      </c>
      <c r="Q326" s="24"/>
      <c r="R326" s="23">
        <v>3598.57</v>
      </c>
      <c r="S326" s="25">
        <f t="shared" si="19"/>
        <v>0.22211119107548241</v>
      </c>
      <c r="T326" s="36"/>
      <c r="U326" s="36">
        <f>Table24[[#This Row],[WagesPercent]]+Table24[[#This Row],[FoodCostPercent]]</f>
        <v>0.56093511405621399</v>
      </c>
      <c r="V326" s="36"/>
    </row>
    <row r="327" spans="1:22" x14ac:dyDescent="0.25">
      <c r="A327" s="20">
        <v>326</v>
      </c>
      <c r="B327" s="21" t="s">
        <v>99</v>
      </c>
      <c r="C327" s="21" t="s">
        <v>96</v>
      </c>
      <c r="D327" s="6" t="s">
        <v>54</v>
      </c>
      <c r="E327" s="6">
        <v>3804018</v>
      </c>
      <c r="F327" s="6" t="s">
        <v>24</v>
      </c>
      <c r="G327" s="6" t="s">
        <v>20</v>
      </c>
      <c r="H327" s="6" t="s">
        <v>41</v>
      </c>
      <c r="I327" s="23">
        <v>18830.12</v>
      </c>
      <c r="J327" s="23">
        <v>19707.78</v>
      </c>
      <c r="K327" s="23">
        <v>1135</v>
      </c>
      <c r="L327" s="23"/>
      <c r="M327" s="23">
        <v>5929.44</v>
      </c>
      <c r="N327" s="23">
        <v>469.81</v>
      </c>
      <c r="O327" s="23">
        <f>+Table24[[#This Row],[FoodcostBlueline]]+Table24[[#This Row],[Pepsico]]</f>
        <v>6399.25</v>
      </c>
      <c r="P327" s="24">
        <f t="shared" si="18"/>
        <v>0.33984116936057762</v>
      </c>
      <c r="Q327" s="24"/>
      <c r="R327" s="23">
        <v>4046.15</v>
      </c>
      <c r="S327" s="25">
        <f t="shared" si="19"/>
        <v>0.21487648512064714</v>
      </c>
      <c r="T327" s="36"/>
      <c r="U327" s="36">
        <f>Table24[[#This Row],[WagesPercent]]+Table24[[#This Row],[FoodCostPercent]]</f>
        <v>0.55471765448122479</v>
      </c>
      <c r="V327" s="36"/>
    </row>
    <row r="328" spans="1:22" x14ac:dyDescent="0.25">
      <c r="A328" s="20">
        <v>327</v>
      </c>
      <c r="B328" s="21" t="s">
        <v>99</v>
      </c>
      <c r="C328" s="21" t="s">
        <v>96</v>
      </c>
      <c r="D328" s="6" t="s">
        <v>54</v>
      </c>
      <c r="E328" s="6">
        <v>3804019</v>
      </c>
      <c r="F328" s="6" t="s">
        <v>25</v>
      </c>
      <c r="G328" s="6" t="s">
        <v>20</v>
      </c>
      <c r="H328" s="6" t="s">
        <v>41</v>
      </c>
      <c r="I328" s="23">
        <v>11908.23</v>
      </c>
      <c r="J328" s="23">
        <v>14537.82</v>
      </c>
      <c r="K328" s="23">
        <v>766</v>
      </c>
      <c r="L328" s="23"/>
      <c r="M328" s="23">
        <v>3895.92</v>
      </c>
      <c r="N328" s="23">
        <v>285.89999999999998</v>
      </c>
      <c r="O328" s="23">
        <f>+Table24[[#This Row],[FoodcostBlueline]]+Table24[[#This Row],[Pepsico]]</f>
        <v>4181.82</v>
      </c>
      <c r="P328" s="24">
        <f t="shared" si="18"/>
        <v>0.35117057698751197</v>
      </c>
      <c r="Q328" s="24"/>
      <c r="R328" s="23">
        <v>3285.34</v>
      </c>
      <c r="S328" s="25">
        <f t="shared" si="19"/>
        <v>0.27588818825299816</v>
      </c>
      <c r="T328" s="36"/>
      <c r="U328" s="36">
        <f>Table24[[#This Row],[WagesPercent]]+Table24[[#This Row],[FoodCostPercent]]</f>
        <v>0.62705876524051019</v>
      </c>
      <c r="V328" s="36"/>
    </row>
    <row r="329" spans="1:22" x14ac:dyDescent="0.25">
      <c r="A329" s="20">
        <v>328</v>
      </c>
      <c r="B329" s="21" t="s">
        <v>99</v>
      </c>
      <c r="C329" s="21" t="s">
        <v>96</v>
      </c>
      <c r="D329" s="6" t="s">
        <v>54</v>
      </c>
      <c r="E329" s="6">
        <v>3804020</v>
      </c>
      <c r="F329" s="6" t="s">
        <v>26</v>
      </c>
      <c r="G329" s="6" t="s">
        <v>22</v>
      </c>
      <c r="H329" s="6" t="s">
        <v>40</v>
      </c>
      <c r="I329" s="23">
        <v>10304.26</v>
      </c>
      <c r="J329" s="23">
        <v>13566.91</v>
      </c>
      <c r="K329" s="23">
        <v>640</v>
      </c>
      <c r="L329" s="23"/>
      <c r="M329" s="23">
        <v>3483.46</v>
      </c>
      <c r="N329" s="23">
        <v>307.33999999999997</v>
      </c>
      <c r="O329" s="23">
        <f>+Table24[[#This Row],[FoodcostBlueline]]+Table24[[#This Row],[Pepsico]]</f>
        <v>3790.8</v>
      </c>
      <c r="P329" s="24">
        <f t="shared" si="18"/>
        <v>0.36788667987803103</v>
      </c>
      <c r="Q329" s="24"/>
      <c r="R329" s="23">
        <v>2316.35</v>
      </c>
      <c r="S329" s="25">
        <f t="shared" si="19"/>
        <v>0.22479537589307722</v>
      </c>
      <c r="T329" s="36"/>
      <c r="U329" s="36">
        <f>Table24[[#This Row],[WagesPercent]]+Table24[[#This Row],[FoodCostPercent]]</f>
        <v>0.59268205577110822</v>
      </c>
      <c r="V329" s="36"/>
    </row>
    <row r="330" spans="1:22" x14ac:dyDescent="0.25">
      <c r="A330" s="20">
        <v>329</v>
      </c>
      <c r="B330" s="21" t="s">
        <v>99</v>
      </c>
      <c r="C330" s="21" t="s">
        <v>96</v>
      </c>
      <c r="D330" s="6" t="s">
        <v>54</v>
      </c>
      <c r="E330" s="6">
        <v>3804021</v>
      </c>
      <c r="F330" s="6" t="s">
        <v>27</v>
      </c>
      <c r="G330" s="6" t="s">
        <v>22</v>
      </c>
      <c r="H330" s="6" t="s">
        <v>40</v>
      </c>
      <c r="I330" s="23">
        <v>21307.9</v>
      </c>
      <c r="J330" s="23">
        <v>29432.95</v>
      </c>
      <c r="K330" s="23">
        <v>1346</v>
      </c>
      <c r="L330" s="23"/>
      <c r="M330" s="23">
        <v>7296.45</v>
      </c>
      <c r="N330" s="23">
        <v>0</v>
      </c>
      <c r="O330" s="23">
        <f>+Table24[[#This Row],[FoodcostBlueline]]+Table24[[#This Row],[Pepsico]]</f>
        <v>7296.45</v>
      </c>
      <c r="P330" s="24">
        <f t="shared" si="18"/>
        <v>0.3424293337212958</v>
      </c>
      <c r="Q330" s="24"/>
      <c r="R330" s="23">
        <v>4911.8999999999996</v>
      </c>
      <c r="S330" s="25">
        <f t="shared" si="19"/>
        <v>0.23052013572430879</v>
      </c>
      <c r="T330" s="36"/>
      <c r="U330" s="36">
        <f>Table24[[#This Row],[WagesPercent]]+Table24[[#This Row],[FoodCostPercent]]</f>
        <v>0.57294946944560454</v>
      </c>
      <c r="V330" s="36"/>
    </row>
    <row r="331" spans="1:22" x14ac:dyDescent="0.25">
      <c r="A331" s="20">
        <v>330</v>
      </c>
      <c r="B331" s="21" t="s">
        <v>99</v>
      </c>
      <c r="C331" s="21" t="s">
        <v>96</v>
      </c>
      <c r="D331" s="6" t="s">
        <v>54</v>
      </c>
      <c r="E331" s="6">
        <v>3804022</v>
      </c>
      <c r="F331" s="6" t="s">
        <v>28</v>
      </c>
      <c r="G331" s="6" t="s">
        <v>22</v>
      </c>
      <c r="H331" s="6" t="s">
        <v>40</v>
      </c>
      <c r="I331" s="23">
        <v>12183.92</v>
      </c>
      <c r="J331" s="23">
        <v>14899.88</v>
      </c>
      <c r="K331" s="23">
        <v>724</v>
      </c>
      <c r="L331" s="23"/>
      <c r="M331" s="55">
        <v>4497.66</v>
      </c>
      <c r="N331" s="23">
        <v>375.44</v>
      </c>
      <c r="O331" s="23">
        <f>+Table24[[#This Row],[FoodcostBlueline]]+Table24[[#This Row],[Pepsico]]</f>
        <v>4873.0999999999995</v>
      </c>
      <c r="P331" s="24">
        <f t="shared" si="18"/>
        <v>0.39996158871693177</v>
      </c>
      <c r="Q331" s="24"/>
      <c r="R331" s="23">
        <v>3027.34</v>
      </c>
      <c r="S331" s="25">
        <f t="shared" si="19"/>
        <v>0.24847011470856672</v>
      </c>
      <c r="T331" s="36"/>
      <c r="U331" s="36">
        <f>Table24[[#This Row],[WagesPercent]]+Table24[[#This Row],[FoodCostPercent]]</f>
        <v>0.6484317034254985</v>
      </c>
      <c r="V331" s="36"/>
    </row>
    <row r="332" spans="1:22" x14ac:dyDescent="0.25">
      <c r="A332" s="20">
        <v>331</v>
      </c>
      <c r="B332" s="21" t="s">
        <v>99</v>
      </c>
      <c r="C332" s="21" t="s">
        <v>96</v>
      </c>
      <c r="D332" s="6" t="s">
        <v>54</v>
      </c>
      <c r="E332" s="6">
        <v>3804023</v>
      </c>
      <c r="F332" s="6" t="s">
        <v>29</v>
      </c>
      <c r="G332" s="6" t="s">
        <v>22</v>
      </c>
      <c r="H332" s="6" t="s">
        <v>40</v>
      </c>
      <c r="I332" s="23">
        <v>13232.74</v>
      </c>
      <c r="J332" s="23">
        <v>18970.580000000002</v>
      </c>
      <c r="K332" s="23">
        <v>834</v>
      </c>
      <c r="L332" s="23"/>
      <c r="M332" s="23">
        <v>5466.6</v>
      </c>
      <c r="N332" s="23">
        <v>477.86</v>
      </c>
      <c r="O332" s="23">
        <f>+Table24[[#This Row],[FoodcostBlueline]]+Table24[[#This Row],[Pepsico]]</f>
        <v>5944.46</v>
      </c>
      <c r="P332" s="24">
        <f t="shared" si="18"/>
        <v>0.44922366796294644</v>
      </c>
      <c r="Q332" s="24"/>
      <c r="R332" s="23">
        <v>3340.5</v>
      </c>
      <c r="S332" s="25">
        <f t="shared" si="19"/>
        <v>0.25244204903897455</v>
      </c>
      <c r="T332" s="36"/>
      <c r="U332" s="36">
        <f>Table24[[#This Row],[WagesPercent]]+Table24[[#This Row],[FoodCostPercent]]</f>
        <v>0.70166571700192093</v>
      </c>
      <c r="V332" s="36"/>
    </row>
    <row r="333" spans="1:22" x14ac:dyDescent="0.25">
      <c r="A333" s="20">
        <v>332</v>
      </c>
      <c r="B333" s="21" t="s">
        <v>99</v>
      </c>
      <c r="C333" s="21" t="s">
        <v>96</v>
      </c>
      <c r="D333" s="6" t="s">
        <v>54</v>
      </c>
      <c r="E333" s="6">
        <v>3804024</v>
      </c>
      <c r="F333" s="6" t="s">
        <v>30</v>
      </c>
      <c r="G333" s="6" t="s">
        <v>20</v>
      </c>
      <c r="H333" s="6" t="s">
        <v>41</v>
      </c>
      <c r="I333" s="23">
        <v>10876.24</v>
      </c>
      <c r="J333" s="23">
        <v>15796.36</v>
      </c>
      <c r="K333" s="23">
        <v>631</v>
      </c>
      <c r="L333" s="23"/>
      <c r="M333" s="23">
        <v>4214.84</v>
      </c>
      <c r="N333" s="23">
        <v>427.33</v>
      </c>
      <c r="O333" s="23">
        <f>+Table24[[#This Row],[FoodcostBlueline]]+Table24[[#This Row],[Pepsico]]</f>
        <v>4642.17</v>
      </c>
      <c r="P333" s="24">
        <f t="shared" si="18"/>
        <v>0.42681753988510734</v>
      </c>
      <c r="Q333" s="24"/>
      <c r="R333" s="23">
        <f>3223.77+69.23</f>
        <v>3293</v>
      </c>
      <c r="S333" s="25">
        <f t="shared" si="19"/>
        <v>0.30277007495237324</v>
      </c>
      <c r="T333" s="36"/>
      <c r="U333" s="36">
        <f>Table24[[#This Row],[WagesPercent]]+Table24[[#This Row],[FoodCostPercent]]</f>
        <v>0.72958761483748058</v>
      </c>
      <c r="V333" s="36"/>
    </row>
    <row r="334" spans="1:22" x14ac:dyDescent="0.25">
      <c r="A334" s="20">
        <v>333</v>
      </c>
      <c r="B334" s="21" t="s">
        <v>99</v>
      </c>
      <c r="C334" s="21" t="s">
        <v>96</v>
      </c>
      <c r="D334" s="6" t="s">
        <v>54</v>
      </c>
      <c r="E334" s="6">
        <v>3804025</v>
      </c>
      <c r="F334" s="6" t="s">
        <v>31</v>
      </c>
      <c r="G334" s="6" t="s">
        <v>20</v>
      </c>
      <c r="H334" s="6" t="s">
        <v>41</v>
      </c>
      <c r="I334" s="23">
        <v>23686.1</v>
      </c>
      <c r="J334" s="23">
        <v>27221.7</v>
      </c>
      <c r="K334" s="23">
        <v>1508</v>
      </c>
      <c r="L334" s="23"/>
      <c r="M334" s="23">
        <v>7164.71</v>
      </c>
      <c r="N334" s="23">
        <v>603.54</v>
      </c>
      <c r="O334" s="23">
        <f>+Table24[[#This Row],[FoodcostBlueline]]+Table24[[#This Row],[Pepsico]]</f>
        <v>7768.25</v>
      </c>
      <c r="P334" s="24">
        <f t="shared" si="18"/>
        <v>0.32796661333018101</v>
      </c>
      <c r="Q334" s="24"/>
      <c r="R334" s="23">
        <v>5229.34</v>
      </c>
      <c r="S334" s="25">
        <f t="shared" si="19"/>
        <v>0.22077674247765569</v>
      </c>
      <c r="T334" s="36"/>
      <c r="U334" s="36">
        <f>Table24[[#This Row],[WagesPercent]]+Table24[[#This Row],[FoodCostPercent]]</f>
        <v>0.54874335580783673</v>
      </c>
      <c r="V334" s="36"/>
    </row>
    <row r="335" spans="1:22" x14ac:dyDescent="0.25">
      <c r="A335" s="20">
        <v>334</v>
      </c>
      <c r="B335" s="21" t="s">
        <v>99</v>
      </c>
      <c r="C335" s="21" t="s">
        <v>96</v>
      </c>
      <c r="D335" s="6" t="s">
        <v>54</v>
      </c>
      <c r="E335" s="6">
        <v>3804026</v>
      </c>
      <c r="F335" s="6" t="s">
        <v>32</v>
      </c>
      <c r="G335" s="6" t="s">
        <v>79</v>
      </c>
      <c r="H335" s="6" t="s">
        <v>41</v>
      </c>
      <c r="I335" s="23">
        <v>13088.6</v>
      </c>
      <c r="J335" s="23">
        <v>13933.71</v>
      </c>
      <c r="K335" s="23">
        <v>778</v>
      </c>
      <c r="L335" s="23"/>
      <c r="M335" s="23">
        <v>3850.23</v>
      </c>
      <c r="N335" s="23">
        <v>306.47000000000003</v>
      </c>
      <c r="O335" s="23">
        <f>+Table24[[#This Row],[FoodcostBlueline]]+Table24[[#This Row],[Pepsico]]</f>
        <v>4156.7</v>
      </c>
      <c r="P335" s="24">
        <f t="shared" si="18"/>
        <v>0.31758171232981369</v>
      </c>
      <c r="Q335" s="24"/>
      <c r="R335" s="23">
        <v>3593.51</v>
      </c>
      <c r="S335" s="25">
        <f t="shared" si="19"/>
        <v>0.27455266415048213</v>
      </c>
      <c r="T335" s="36"/>
      <c r="U335" s="36">
        <f>Table24[[#This Row],[WagesPercent]]+Table24[[#This Row],[FoodCostPercent]]</f>
        <v>0.59213437648029577</v>
      </c>
      <c r="V335" s="36"/>
    </row>
    <row r="336" spans="1:22" x14ac:dyDescent="0.25">
      <c r="A336" s="20">
        <v>335</v>
      </c>
      <c r="B336" s="21" t="s">
        <v>99</v>
      </c>
      <c r="C336" s="21" t="s">
        <v>96</v>
      </c>
      <c r="D336" s="6" t="s">
        <v>54</v>
      </c>
      <c r="E336" s="6">
        <v>3804027</v>
      </c>
      <c r="F336" s="6" t="s">
        <v>33</v>
      </c>
      <c r="G336" s="6" t="s">
        <v>43</v>
      </c>
      <c r="H336" s="6" t="s">
        <v>41</v>
      </c>
      <c r="I336" s="23">
        <v>17001.080000000002</v>
      </c>
      <c r="J336" s="23">
        <v>13704.39</v>
      </c>
      <c r="K336" s="23">
        <v>1190</v>
      </c>
      <c r="L336" s="23"/>
      <c r="M336" s="23">
        <f>5650.74-87.88</f>
        <v>5562.86</v>
      </c>
      <c r="N336" s="23">
        <v>0</v>
      </c>
      <c r="O336" s="23">
        <f>+Table24[[#This Row],[FoodcostBlueline]]+Table24[[#This Row],[Pepsico]]</f>
        <v>5562.86</v>
      </c>
      <c r="P336" s="24">
        <f t="shared" si="18"/>
        <v>0.32720627160156879</v>
      </c>
      <c r="Q336" s="24"/>
      <c r="R336" s="23">
        <f>2093.3+277+1600</f>
        <v>3970.3</v>
      </c>
      <c r="S336" s="25">
        <f t="shared" si="19"/>
        <v>0.23353222265879578</v>
      </c>
      <c r="T336" s="36"/>
      <c r="U336" s="36">
        <f>Table24[[#This Row],[WagesPercent]]+Table24[[#This Row],[FoodCostPercent]]</f>
        <v>0.56073849426036459</v>
      </c>
      <c r="V336" s="36"/>
    </row>
    <row r="337" spans="1:22" x14ac:dyDescent="0.25">
      <c r="A337" s="20">
        <v>336</v>
      </c>
      <c r="B337" s="21" t="s">
        <v>99</v>
      </c>
      <c r="C337" s="21" t="s">
        <v>96</v>
      </c>
      <c r="D337" s="6" t="s">
        <v>54</v>
      </c>
      <c r="E337" s="6">
        <v>3804029</v>
      </c>
      <c r="F337" s="6" t="s">
        <v>34</v>
      </c>
      <c r="G337" s="6" t="s">
        <v>79</v>
      </c>
      <c r="H337" s="6" t="s">
        <v>41</v>
      </c>
      <c r="I337" s="23">
        <v>10678.68</v>
      </c>
      <c r="J337" s="23">
        <v>12676.43</v>
      </c>
      <c r="K337" s="23">
        <v>665</v>
      </c>
      <c r="L337" s="23"/>
      <c r="M337" s="23">
        <v>2865.14</v>
      </c>
      <c r="N337" s="23">
        <v>435.43</v>
      </c>
      <c r="O337" s="23">
        <f>+Table24[[#This Row],[FoodcostBlueline]]+Table24[[#This Row],[Pepsico]]</f>
        <v>3300.5699999999997</v>
      </c>
      <c r="P337" s="24">
        <f t="shared" si="18"/>
        <v>0.30908033577183691</v>
      </c>
      <c r="Q337" s="24"/>
      <c r="R337" s="23">
        <f>718.89+2370</f>
        <v>3088.89</v>
      </c>
      <c r="S337" s="25">
        <f t="shared" si="19"/>
        <v>0.28925766105923201</v>
      </c>
      <c r="T337" s="36"/>
      <c r="U337" s="36">
        <f>Table24[[#This Row],[WagesPercent]]+Table24[[#This Row],[FoodCostPercent]]</f>
        <v>0.59833799683106892</v>
      </c>
      <c r="V337" s="36"/>
    </row>
    <row r="338" spans="1:22" x14ac:dyDescent="0.25">
      <c r="A338" s="20">
        <v>337</v>
      </c>
      <c r="B338" s="21" t="s">
        <v>99</v>
      </c>
      <c r="C338" s="21" t="s">
        <v>96</v>
      </c>
      <c r="D338" s="6" t="s">
        <v>54</v>
      </c>
      <c r="E338" s="6">
        <v>3804030</v>
      </c>
      <c r="F338" s="6" t="s">
        <v>35</v>
      </c>
      <c r="G338" s="6" t="s">
        <v>5</v>
      </c>
      <c r="H338" s="6" t="s">
        <v>40</v>
      </c>
      <c r="I338" s="23">
        <v>9395.1200000000008</v>
      </c>
      <c r="J338" s="23">
        <v>10369.91</v>
      </c>
      <c r="K338" s="23">
        <v>564</v>
      </c>
      <c r="L338" s="23"/>
      <c r="M338" s="23">
        <v>3083.29</v>
      </c>
      <c r="N338" s="23">
        <f>-22.64+179.53</f>
        <v>156.88999999999999</v>
      </c>
      <c r="O338" s="23">
        <f>+Table24[[#This Row],[FoodcostBlueline]]+Table24[[#This Row],[Pepsico]]</f>
        <v>3240.18</v>
      </c>
      <c r="P338" s="24">
        <f t="shared" si="18"/>
        <v>0.34487904358858634</v>
      </c>
      <c r="Q338" s="24"/>
      <c r="R338" s="23">
        <v>2536.59</v>
      </c>
      <c r="S338" s="25">
        <f t="shared" si="19"/>
        <v>0.2699901651069917</v>
      </c>
      <c r="T338" s="36"/>
      <c r="U338" s="36">
        <f>Table24[[#This Row],[WagesPercent]]+Table24[[#This Row],[FoodCostPercent]]</f>
        <v>0.61486920869557804</v>
      </c>
      <c r="V338" s="36"/>
    </row>
    <row r="339" spans="1:22" x14ac:dyDescent="0.25">
      <c r="A339" s="20">
        <v>338</v>
      </c>
      <c r="B339" s="21" t="s">
        <v>99</v>
      </c>
      <c r="C339" s="21" t="s">
        <v>96</v>
      </c>
      <c r="D339" s="6" t="s">
        <v>54</v>
      </c>
      <c r="E339" s="6">
        <v>3804031</v>
      </c>
      <c r="F339" s="6" t="s">
        <v>36</v>
      </c>
      <c r="G339" s="6" t="s">
        <v>5</v>
      </c>
      <c r="H339" s="6" t="s">
        <v>40</v>
      </c>
      <c r="I339" s="23">
        <v>9438</v>
      </c>
      <c r="J339" s="23">
        <v>9262.9699999999993</v>
      </c>
      <c r="K339" s="23">
        <v>626</v>
      </c>
      <c r="L339" s="23"/>
      <c r="M339" s="23">
        <f>3491.93-42.52</f>
        <v>3449.41</v>
      </c>
      <c r="N339" s="23">
        <v>292.39999999999998</v>
      </c>
      <c r="O339" s="23">
        <f>+Table24[[#This Row],[FoodcostBlueline]]+Table24[[#This Row],[Pepsico]]</f>
        <v>3741.81</v>
      </c>
      <c r="P339" s="24">
        <f t="shared" si="18"/>
        <v>0.3964621741894469</v>
      </c>
      <c r="Q339" s="24"/>
      <c r="R339" s="37">
        <f>2278.56+880</f>
        <v>3158.56</v>
      </c>
      <c r="S339" s="25">
        <f t="shared" si="19"/>
        <v>0.33466412375503285</v>
      </c>
      <c r="T339" s="36"/>
      <c r="U339" s="36">
        <f>Table24[[#This Row],[WagesPercent]]+Table24[[#This Row],[FoodCostPercent]]</f>
        <v>0.7311262979444797</v>
      </c>
      <c r="V339" s="36"/>
    </row>
    <row r="340" spans="1:22" x14ac:dyDescent="0.25">
      <c r="A340" s="20">
        <v>339</v>
      </c>
      <c r="B340" s="21" t="s">
        <v>99</v>
      </c>
      <c r="C340" s="21" t="s">
        <v>96</v>
      </c>
      <c r="D340" s="6" t="s">
        <v>54</v>
      </c>
      <c r="E340" s="6">
        <v>3804032</v>
      </c>
      <c r="F340" s="6" t="s">
        <v>37</v>
      </c>
      <c r="G340" s="6" t="s">
        <v>5</v>
      </c>
      <c r="H340" s="6" t="s">
        <v>40</v>
      </c>
      <c r="I340" s="23">
        <v>8190.38</v>
      </c>
      <c r="J340" s="23">
        <v>5474.73</v>
      </c>
      <c r="K340" s="23">
        <v>512</v>
      </c>
      <c r="L340" s="23"/>
      <c r="M340" s="23">
        <f>117.6+2916.33</f>
        <v>3033.93</v>
      </c>
      <c r="N340" s="23">
        <v>308.81</v>
      </c>
      <c r="O340" s="23">
        <f>+Table24[[#This Row],[FoodcostBlueline]]+Table24[[#This Row],[Pepsico]]</f>
        <v>3342.74</v>
      </c>
      <c r="P340" s="24">
        <f t="shared" si="18"/>
        <v>0.40813002571309265</v>
      </c>
      <c r="Q340" s="24"/>
      <c r="R340" s="23">
        <f>1350+850+200</f>
        <v>2400</v>
      </c>
      <c r="S340" s="25">
        <f t="shared" si="19"/>
        <v>0.2930266971740017</v>
      </c>
      <c r="T340" s="36"/>
      <c r="U340" s="36">
        <f>Table24[[#This Row],[WagesPercent]]+Table24[[#This Row],[FoodCostPercent]]</f>
        <v>0.7011567228870943</v>
      </c>
      <c r="V340" s="36"/>
    </row>
    <row r="341" spans="1:22" x14ac:dyDescent="0.25">
      <c r="A341" s="20">
        <v>340</v>
      </c>
      <c r="B341" s="21" t="s">
        <v>99</v>
      </c>
      <c r="C341" s="21" t="s">
        <v>96</v>
      </c>
      <c r="D341" s="6" t="s">
        <v>54</v>
      </c>
      <c r="E341" s="6">
        <v>3804033</v>
      </c>
      <c r="F341" s="6" t="s">
        <v>38</v>
      </c>
      <c r="G341" s="6" t="s">
        <v>5</v>
      </c>
      <c r="H341" s="6" t="s">
        <v>40</v>
      </c>
      <c r="I341" s="23">
        <v>7621.76</v>
      </c>
      <c r="J341" s="23">
        <v>8963.08</v>
      </c>
      <c r="K341" s="23">
        <v>562</v>
      </c>
      <c r="L341" s="23"/>
      <c r="M341" s="23">
        <v>2719.97</v>
      </c>
      <c r="N341" s="23">
        <v>222.47</v>
      </c>
      <c r="O341" s="23">
        <f>+Table24[[#This Row],[FoodcostBlueline]]+Table24[[#This Row],[Pepsico]]</f>
        <v>2942.4399999999996</v>
      </c>
      <c r="P341" s="24">
        <f t="shared" si="18"/>
        <v>0.38605781341842299</v>
      </c>
      <c r="Q341" s="24"/>
      <c r="R341" s="23">
        <f>1350+850+165.58</f>
        <v>2365.58</v>
      </c>
      <c r="S341" s="25">
        <f t="shared" si="19"/>
        <v>0.31037188260979087</v>
      </c>
      <c r="T341" s="36"/>
      <c r="U341" s="36">
        <f>Table24[[#This Row],[WagesPercent]]+Table24[[#This Row],[FoodCostPercent]]</f>
        <v>0.69642969602821392</v>
      </c>
      <c r="V341" s="36"/>
    </row>
    <row r="342" spans="1:22" x14ac:dyDescent="0.25">
      <c r="A342" s="20">
        <v>341</v>
      </c>
      <c r="B342" s="21" t="s">
        <v>99</v>
      </c>
      <c r="C342" s="21" t="s">
        <v>96</v>
      </c>
      <c r="D342" s="6" t="s">
        <v>54</v>
      </c>
      <c r="E342" s="6">
        <v>3804034</v>
      </c>
      <c r="F342" s="6" t="s">
        <v>53</v>
      </c>
      <c r="G342" s="6" t="s">
        <v>79</v>
      </c>
      <c r="H342" s="6" t="s">
        <v>41</v>
      </c>
      <c r="I342" s="23">
        <v>7802.98</v>
      </c>
      <c r="J342" s="23">
        <v>0</v>
      </c>
      <c r="K342" s="23">
        <v>454</v>
      </c>
      <c r="L342" s="23"/>
      <c r="M342" s="23">
        <v>2779.52</v>
      </c>
      <c r="N342" s="23">
        <v>0</v>
      </c>
      <c r="O342" s="23">
        <f>+Table24[[#This Row],[FoodcostBlueline]]+Table24[[#This Row],[Pepsico]]</f>
        <v>2779.52</v>
      </c>
      <c r="P342" s="24">
        <f t="shared" si="18"/>
        <v>0.35621262645809681</v>
      </c>
      <c r="Q342" s="24"/>
      <c r="R342" s="23">
        <v>2400</v>
      </c>
      <c r="S342" s="25">
        <f t="shared" si="19"/>
        <v>0.30757479834627283</v>
      </c>
      <c r="T342" s="36"/>
      <c r="U342" s="36">
        <f>Table24[[#This Row],[WagesPercent]]+Table24[[#This Row],[FoodCostPercent]]</f>
        <v>0.66378742480436959</v>
      </c>
      <c r="V342" s="36"/>
    </row>
    <row r="343" spans="1:22" x14ac:dyDescent="0.25">
      <c r="A343" s="20">
        <v>342</v>
      </c>
      <c r="B343" s="21" t="s">
        <v>100</v>
      </c>
      <c r="C343" s="21" t="s">
        <v>96</v>
      </c>
      <c r="D343" s="6" t="s">
        <v>55</v>
      </c>
      <c r="E343" s="6">
        <v>3804001</v>
      </c>
      <c r="F343" s="6" t="s">
        <v>4</v>
      </c>
      <c r="G343" s="6" t="s">
        <v>5</v>
      </c>
      <c r="H343" s="6" t="s">
        <v>40</v>
      </c>
      <c r="I343" s="23">
        <v>27732.82</v>
      </c>
      <c r="J343" s="23">
        <v>34070.44</v>
      </c>
      <c r="K343" s="23">
        <v>1842</v>
      </c>
      <c r="L343" s="23"/>
      <c r="M343" s="23">
        <v>7533.03</v>
      </c>
      <c r="N343" s="23">
        <v>657.85</v>
      </c>
      <c r="O343" s="23">
        <f>+Table24[[#This Row],[FoodcostBlueline]]+Table24[[#This Row],[Pepsico]]</f>
        <v>8190.88</v>
      </c>
      <c r="P343" s="24">
        <f t="shared" si="18"/>
        <v>0.29534969757853691</v>
      </c>
      <c r="Q343" s="24"/>
      <c r="R343" s="23">
        <f>5357.65+780+165.58</f>
        <v>6303.23</v>
      </c>
      <c r="S343" s="25">
        <f t="shared" si="19"/>
        <v>0.22728413482653403</v>
      </c>
      <c r="T343" s="36"/>
      <c r="U343" s="36">
        <f>Table24[[#This Row],[WagesPercent]]+Table24[[#This Row],[FoodCostPercent]]</f>
        <v>0.522633832405071</v>
      </c>
      <c r="V343" s="36"/>
    </row>
    <row r="344" spans="1:22" x14ac:dyDescent="0.25">
      <c r="A344" s="20">
        <v>343</v>
      </c>
      <c r="B344" s="21" t="s">
        <v>100</v>
      </c>
      <c r="C344" s="21" t="s">
        <v>96</v>
      </c>
      <c r="D344" s="6" t="s">
        <v>55</v>
      </c>
      <c r="E344" s="6">
        <v>3804002</v>
      </c>
      <c r="F344" s="6" t="s">
        <v>6</v>
      </c>
      <c r="G344" s="6" t="s">
        <v>7</v>
      </c>
      <c r="H344" s="6" t="s">
        <v>41</v>
      </c>
      <c r="I344" s="23">
        <v>13243.62</v>
      </c>
      <c r="J344" s="23">
        <v>17394.14</v>
      </c>
      <c r="K344" s="23">
        <v>1076</v>
      </c>
      <c r="L344" s="23"/>
      <c r="M344" s="23">
        <f>3453.73+68.82</f>
        <v>3522.55</v>
      </c>
      <c r="N344" s="23">
        <v>280.64999999999998</v>
      </c>
      <c r="O344" s="23">
        <f>+Table24[[#This Row],[FoodcostBlueline]]+Table24[[#This Row],[Pepsico]]</f>
        <v>3803.2000000000003</v>
      </c>
      <c r="P344" s="24">
        <f t="shared" si="18"/>
        <v>0.28717223840611555</v>
      </c>
      <c r="Q344" s="24"/>
      <c r="R344" s="23">
        <v>3362.92</v>
      </c>
      <c r="S344" s="25">
        <f t="shared" si="19"/>
        <v>0.25392755153047275</v>
      </c>
      <c r="T344" s="36"/>
      <c r="U344" s="36">
        <f>Table24[[#This Row],[WagesPercent]]+Table24[[#This Row],[FoodCostPercent]]</f>
        <v>0.54109978993658836</v>
      </c>
      <c r="V344" s="36"/>
    </row>
    <row r="345" spans="1:22" x14ac:dyDescent="0.25">
      <c r="A345" s="20">
        <v>344</v>
      </c>
      <c r="B345" s="21" t="s">
        <v>100</v>
      </c>
      <c r="C345" s="21" t="s">
        <v>96</v>
      </c>
      <c r="D345" s="6" t="s">
        <v>55</v>
      </c>
      <c r="E345" s="6">
        <v>3804003</v>
      </c>
      <c r="F345" s="6" t="s">
        <v>8</v>
      </c>
      <c r="G345" s="6" t="s">
        <v>7</v>
      </c>
      <c r="H345" s="6" t="s">
        <v>41</v>
      </c>
      <c r="I345" s="23">
        <v>11365.58</v>
      </c>
      <c r="J345" s="23">
        <v>14203.12</v>
      </c>
      <c r="K345" s="23">
        <v>760</v>
      </c>
      <c r="L345" s="23"/>
      <c r="M345" s="23">
        <v>3496.5</v>
      </c>
      <c r="N345" s="23">
        <v>308.81</v>
      </c>
      <c r="O345" s="23">
        <f>+Table24[[#This Row],[FoodcostBlueline]]+Table24[[#This Row],[Pepsico]]</f>
        <v>3805.31</v>
      </c>
      <c r="P345" s="24">
        <f t="shared" si="18"/>
        <v>0.33481001409518918</v>
      </c>
      <c r="Q345" s="24"/>
      <c r="R345" s="23">
        <f>2650.89+50</f>
        <v>2700.89</v>
      </c>
      <c r="S345" s="25">
        <f t="shared" si="19"/>
        <v>0.23763767445216169</v>
      </c>
      <c r="T345" s="36"/>
      <c r="U345" s="36">
        <f>Table24[[#This Row],[WagesPercent]]+Table24[[#This Row],[FoodCostPercent]]</f>
        <v>0.57244768854735084</v>
      </c>
      <c r="V345" s="36"/>
    </row>
    <row r="346" spans="1:22" x14ac:dyDescent="0.25">
      <c r="A346" s="20">
        <v>345</v>
      </c>
      <c r="B346" s="21" t="s">
        <v>100</v>
      </c>
      <c r="C346" s="21" t="s">
        <v>96</v>
      </c>
      <c r="D346" s="6" t="s">
        <v>55</v>
      </c>
      <c r="E346" s="6">
        <v>3804004</v>
      </c>
      <c r="F346" s="6" t="s">
        <v>9</v>
      </c>
      <c r="G346" s="6" t="s">
        <v>7</v>
      </c>
      <c r="H346" s="6" t="s">
        <v>41</v>
      </c>
      <c r="I346" s="23">
        <v>15448.67</v>
      </c>
      <c r="J346" s="23">
        <v>21543.73</v>
      </c>
      <c r="K346" s="23">
        <v>1042</v>
      </c>
      <c r="L346" s="23"/>
      <c r="M346" s="23">
        <v>3961.07</v>
      </c>
      <c r="N346" s="23">
        <v>387.4</v>
      </c>
      <c r="O346" s="23">
        <f>+Table24[[#This Row],[FoodcostBlueline]]+Table24[[#This Row],[Pepsico]]</f>
        <v>4348.47</v>
      </c>
      <c r="P346" s="24">
        <f t="shared" si="18"/>
        <v>0.28147859977590306</v>
      </c>
      <c r="Q346" s="24"/>
      <c r="R346" s="23">
        <v>3353.65</v>
      </c>
      <c r="S346" s="25">
        <f t="shared" si="19"/>
        <v>0.21708341235847486</v>
      </c>
      <c r="T346" s="36"/>
      <c r="U346" s="36">
        <f>Table24[[#This Row],[WagesPercent]]+Table24[[#This Row],[FoodCostPercent]]</f>
        <v>0.4985620121343779</v>
      </c>
      <c r="V346" s="36"/>
    </row>
    <row r="347" spans="1:22" x14ac:dyDescent="0.25">
      <c r="A347" s="20">
        <v>346</v>
      </c>
      <c r="B347" s="21" t="s">
        <v>100</v>
      </c>
      <c r="C347" s="21" t="s">
        <v>96</v>
      </c>
      <c r="D347" s="6" t="s">
        <v>55</v>
      </c>
      <c r="E347" s="6">
        <v>3804005</v>
      </c>
      <c r="F347" s="6" t="s">
        <v>10</v>
      </c>
      <c r="G347" s="6" t="s">
        <v>7</v>
      </c>
      <c r="H347" s="6" t="s">
        <v>41</v>
      </c>
      <c r="I347" s="23">
        <v>12121.83</v>
      </c>
      <c r="J347" s="23">
        <v>15641.16</v>
      </c>
      <c r="K347" s="23">
        <v>841</v>
      </c>
      <c r="L347" s="23"/>
      <c r="M347" s="23">
        <v>3251.3</v>
      </c>
      <c r="N347" s="23">
        <v>912.36</v>
      </c>
      <c r="O347" s="23">
        <f>+Table24[[#This Row],[FoodcostBlueline]]+Table24[[#This Row],[Pepsico]]</f>
        <v>4163.66</v>
      </c>
      <c r="P347" s="24">
        <f t="shared" si="18"/>
        <v>0.34348444088062607</v>
      </c>
      <c r="Q347" s="24"/>
      <c r="R347" s="23">
        <v>3137.01</v>
      </c>
      <c r="S347" s="25">
        <f t="shared" si="19"/>
        <v>0.25879013317296151</v>
      </c>
      <c r="T347" s="36"/>
      <c r="U347" s="36">
        <f>Table24[[#This Row],[WagesPercent]]+Table24[[#This Row],[FoodCostPercent]]</f>
        <v>0.60227457405358753</v>
      </c>
      <c r="V347" s="36"/>
    </row>
    <row r="348" spans="1:22" x14ac:dyDescent="0.25">
      <c r="A348" s="20">
        <v>347</v>
      </c>
      <c r="B348" s="21" t="s">
        <v>100</v>
      </c>
      <c r="C348" s="21" t="s">
        <v>96</v>
      </c>
      <c r="D348" s="6" t="s">
        <v>55</v>
      </c>
      <c r="E348" s="6">
        <v>3804006</v>
      </c>
      <c r="F348" s="6" t="s">
        <v>11</v>
      </c>
      <c r="G348" s="6" t="s">
        <v>7</v>
      </c>
      <c r="H348" s="6" t="s">
        <v>41</v>
      </c>
      <c r="I348" s="23">
        <v>7872.49</v>
      </c>
      <c r="J348" s="23">
        <v>13212.66</v>
      </c>
      <c r="K348" s="23">
        <v>608</v>
      </c>
      <c r="L348" s="23"/>
      <c r="M348" s="23">
        <f>2229.84-7.27</f>
        <v>2222.5700000000002</v>
      </c>
      <c r="N348" s="23">
        <v>399.59</v>
      </c>
      <c r="O348" s="23">
        <f>+Table24[[#This Row],[FoodcostBlueline]]+Table24[[#This Row],[Pepsico]]</f>
        <v>2622.1600000000003</v>
      </c>
      <c r="P348" s="24">
        <f t="shared" si="18"/>
        <v>0.33307886069083609</v>
      </c>
      <c r="Q348" s="24"/>
      <c r="R348" s="23">
        <v>1877.87</v>
      </c>
      <c r="S348" s="25">
        <f t="shared" si="19"/>
        <v>0.23853571106473301</v>
      </c>
      <c r="T348" s="36"/>
      <c r="U348" s="36">
        <f>Table24[[#This Row],[WagesPercent]]+Table24[[#This Row],[FoodCostPercent]]</f>
        <v>0.57161457175556907</v>
      </c>
      <c r="V348" s="36"/>
    </row>
    <row r="349" spans="1:22" x14ac:dyDescent="0.25">
      <c r="A349" s="20">
        <v>348</v>
      </c>
      <c r="B349" s="21" t="s">
        <v>100</v>
      </c>
      <c r="C349" s="21" t="s">
        <v>96</v>
      </c>
      <c r="D349" s="6" t="s">
        <v>55</v>
      </c>
      <c r="E349" s="6">
        <v>3804008</v>
      </c>
      <c r="F349" s="6" t="s">
        <v>12</v>
      </c>
      <c r="G349" s="6" t="s">
        <v>42</v>
      </c>
      <c r="H349" s="6" t="s">
        <v>41</v>
      </c>
      <c r="I349" s="23">
        <v>21791.05</v>
      </c>
      <c r="J349" s="23">
        <v>24702.78</v>
      </c>
      <c r="K349" s="23">
        <v>1395</v>
      </c>
      <c r="L349" s="23"/>
      <c r="M349" s="23">
        <v>5923.21</v>
      </c>
      <c r="N349" s="23">
        <v>611.23</v>
      </c>
      <c r="O349" s="23">
        <f>+Table24[[#This Row],[FoodcostBlueline]]+Table24[[#This Row],[Pepsico]]</f>
        <v>6534.4400000000005</v>
      </c>
      <c r="P349" s="24">
        <f t="shared" si="18"/>
        <v>0.29986806510012143</v>
      </c>
      <c r="Q349" s="24"/>
      <c r="R349" s="23">
        <f>411.96+5025</f>
        <v>5436.96</v>
      </c>
      <c r="S349" s="25">
        <f t="shared" si="19"/>
        <v>0.24950426895445607</v>
      </c>
      <c r="T349" s="36"/>
      <c r="U349" s="36">
        <f>Table24[[#This Row],[WagesPercent]]+Table24[[#This Row],[FoodCostPercent]]</f>
        <v>0.54937233405457753</v>
      </c>
      <c r="V349" s="36"/>
    </row>
    <row r="350" spans="1:22" x14ac:dyDescent="0.25">
      <c r="A350" s="20">
        <v>349</v>
      </c>
      <c r="B350" s="21" t="s">
        <v>100</v>
      </c>
      <c r="C350" s="21" t="s">
        <v>96</v>
      </c>
      <c r="D350" s="6" t="s">
        <v>55</v>
      </c>
      <c r="E350" s="6">
        <v>3804009</v>
      </c>
      <c r="F350" s="6" t="s">
        <v>13</v>
      </c>
      <c r="G350" s="6" t="s">
        <v>42</v>
      </c>
      <c r="H350" s="6" t="s">
        <v>41</v>
      </c>
      <c r="I350" s="23">
        <v>16887.36</v>
      </c>
      <c r="J350" s="23">
        <v>16506.79</v>
      </c>
      <c r="K350" s="23">
        <v>1055</v>
      </c>
      <c r="L350" s="23"/>
      <c r="M350" s="23">
        <v>4512.2</v>
      </c>
      <c r="N350" s="23">
        <v>0</v>
      </c>
      <c r="O350" s="23">
        <f>+Table24[[#This Row],[FoodcostBlueline]]+Table24[[#This Row],[Pepsico]]</f>
        <v>4512.2</v>
      </c>
      <c r="P350" s="24">
        <f t="shared" si="18"/>
        <v>0.2671939249237299</v>
      </c>
      <c r="Q350" s="24"/>
      <c r="R350" s="23">
        <v>3925</v>
      </c>
      <c r="S350" s="25">
        <f t="shared" si="19"/>
        <v>0.23242235612908116</v>
      </c>
      <c r="T350" s="36"/>
      <c r="U350" s="36">
        <f>Table24[[#This Row],[WagesPercent]]+Table24[[#This Row],[FoodCostPercent]]</f>
        <v>0.49961628105281108</v>
      </c>
      <c r="V350" s="36"/>
    </row>
    <row r="351" spans="1:22" x14ac:dyDescent="0.25">
      <c r="A351" s="20">
        <v>350</v>
      </c>
      <c r="B351" s="21" t="s">
        <v>100</v>
      </c>
      <c r="C351" s="21" t="s">
        <v>96</v>
      </c>
      <c r="D351" s="6" t="s">
        <v>55</v>
      </c>
      <c r="E351" s="6">
        <v>3804010</v>
      </c>
      <c r="F351" s="6" t="s">
        <v>14</v>
      </c>
      <c r="G351" s="6" t="s">
        <v>42</v>
      </c>
      <c r="H351" s="6" t="s">
        <v>41</v>
      </c>
      <c r="I351" s="23">
        <v>8003.9</v>
      </c>
      <c r="J351" s="23">
        <v>9071.76</v>
      </c>
      <c r="K351" s="23">
        <v>490</v>
      </c>
      <c r="L351" s="23"/>
      <c r="M351" s="23">
        <v>1912.2</v>
      </c>
      <c r="N351" s="23">
        <v>285.5</v>
      </c>
      <c r="O351" s="23">
        <f>+Table24[[#This Row],[FoodcostBlueline]]+Table24[[#This Row],[Pepsico]]</f>
        <v>2197.6999999999998</v>
      </c>
      <c r="P351" s="24">
        <f t="shared" si="18"/>
        <v>0.27457864291158057</v>
      </c>
      <c r="Q351" s="24"/>
      <c r="R351" s="23">
        <v>2148</v>
      </c>
      <c r="S351" s="25">
        <f t="shared" si="19"/>
        <v>0.26836917002961058</v>
      </c>
      <c r="T351" s="36"/>
      <c r="U351" s="36">
        <f>Table24[[#This Row],[WagesPercent]]+Table24[[#This Row],[FoodCostPercent]]</f>
        <v>0.5429478129411911</v>
      </c>
      <c r="V351" s="36"/>
    </row>
    <row r="352" spans="1:22" x14ac:dyDescent="0.25">
      <c r="A352" s="20">
        <v>351</v>
      </c>
      <c r="B352" s="21" t="s">
        <v>100</v>
      </c>
      <c r="C352" s="21" t="s">
        <v>96</v>
      </c>
      <c r="D352" s="6" t="s">
        <v>55</v>
      </c>
      <c r="E352" s="6">
        <v>3804011</v>
      </c>
      <c r="F352" s="6" t="s">
        <v>15</v>
      </c>
      <c r="G352" s="6" t="s">
        <v>79</v>
      </c>
      <c r="H352" s="6" t="s">
        <v>41</v>
      </c>
      <c r="I352" s="23">
        <v>26963.14</v>
      </c>
      <c r="J352" s="23">
        <v>25138.57</v>
      </c>
      <c r="K352" s="23">
        <v>1730</v>
      </c>
      <c r="L352" s="23"/>
      <c r="M352" s="23">
        <f>6618.08-12.35</f>
        <v>6605.73</v>
      </c>
      <c r="N352" s="23">
        <v>666.85</v>
      </c>
      <c r="O352" s="23">
        <f>+Table24[[#This Row],[FoodcostBlueline]]+Table24[[#This Row],[Pepsico]]</f>
        <v>7272.58</v>
      </c>
      <c r="P352" s="24">
        <f t="shared" si="18"/>
        <v>0.26972303670863262</v>
      </c>
      <c r="Q352" s="24"/>
      <c r="R352" s="23">
        <f>3105.38+996.15</f>
        <v>4101.53</v>
      </c>
      <c r="S352" s="25">
        <f t="shared" si="19"/>
        <v>0.15211618528109114</v>
      </c>
      <c r="T352" s="36"/>
      <c r="U352" s="36">
        <f>Table24[[#This Row],[WagesPercent]]+Table24[[#This Row],[FoodCostPercent]]</f>
        <v>0.42183922198972379</v>
      </c>
      <c r="V352" s="36"/>
    </row>
    <row r="353" spans="1:22" x14ac:dyDescent="0.25">
      <c r="A353" s="20">
        <v>352</v>
      </c>
      <c r="B353" s="21" t="s">
        <v>100</v>
      </c>
      <c r="C353" s="21" t="s">
        <v>96</v>
      </c>
      <c r="D353" s="6" t="s">
        <v>55</v>
      </c>
      <c r="E353" s="6">
        <v>3804013</v>
      </c>
      <c r="F353" s="6" t="s">
        <v>17</v>
      </c>
      <c r="G353" s="6" t="s">
        <v>79</v>
      </c>
      <c r="H353" s="6" t="s">
        <v>41</v>
      </c>
      <c r="I353" s="23">
        <v>8926.2099999999991</v>
      </c>
      <c r="J353" s="23">
        <v>9553.7099999999991</v>
      </c>
      <c r="K353" s="23">
        <v>549</v>
      </c>
      <c r="L353" s="23"/>
      <c r="M353" s="23">
        <v>2351.62</v>
      </c>
      <c r="N353" s="23">
        <v>179.02</v>
      </c>
      <c r="O353" s="23">
        <f>+Table24[[#This Row],[FoodcostBlueline]]+Table24[[#This Row],[Pepsico]]</f>
        <v>2530.64</v>
      </c>
      <c r="P353" s="24">
        <f t="shared" si="18"/>
        <v>0.28350666184192397</v>
      </c>
      <c r="Q353" s="24"/>
      <c r="R353" s="23">
        <v>2397.0500000000002</v>
      </c>
      <c r="S353" s="25">
        <f t="shared" si="19"/>
        <v>0.26854062362413617</v>
      </c>
      <c r="T353" s="36"/>
      <c r="U353" s="36">
        <f>Table24[[#This Row],[WagesPercent]]+Table24[[#This Row],[FoodCostPercent]]</f>
        <v>0.55204728546606008</v>
      </c>
      <c r="V353" s="36"/>
    </row>
    <row r="354" spans="1:22" x14ac:dyDescent="0.25">
      <c r="A354" s="20">
        <v>353</v>
      </c>
      <c r="B354" s="21" t="s">
        <v>100</v>
      </c>
      <c r="C354" s="21" t="s">
        <v>96</v>
      </c>
      <c r="D354" s="6" t="s">
        <v>55</v>
      </c>
      <c r="E354" s="6">
        <v>3804014</v>
      </c>
      <c r="F354" s="6" t="s">
        <v>18</v>
      </c>
      <c r="G354" s="6" t="s">
        <v>79</v>
      </c>
      <c r="H354" s="6" t="s">
        <v>41</v>
      </c>
      <c r="I354" s="23">
        <v>8093.93</v>
      </c>
      <c r="J354" s="23">
        <v>10207.59</v>
      </c>
      <c r="K354" s="23">
        <v>535</v>
      </c>
      <c r="L354" s="23"/>
      <c r="M354" s="23">
        <v>2128.09</v>
      </c>
      <c r="N354" s="23">
        <v>0</v>
      </c>
      <c r="O354" s="23">
        <f>+Table24[[#This Row],[FoodcostBlueline]]+Table24[[#This Row],[Pepsico]]</f>
        <v>2128.09</v>
      </c>
      <c r="P354" s="24">
        <f t="shared" si="18"/>
        <v>0.26292419133844747</v>
      </c>
      <c r="Q354" s="24"/>
      <c r="R354" s="23">
        <v>1950.88</v>
      </c>
      <c r="S354" s="25">
        <f t="shared" si="19"/>
        <v>0.24103000643692249</v>
      </c>
      <c r="T354" s="36"/>
      <c r="U354" s="36">
        <f>Table24[[#This Row],[WagesPercent]]+Table24[[#This Row],[FoodCostPercent]]</f>
        <v>0.50395419777536998</v>
      </c>
      <c r="V354" s="36"/>
    </row>
    <row r="355" spans="1:22" x14ac:dyDescent="0.25">
      <c r="A355" s="20">
        <v>354</v>
      </c>
      <c r="B355" s="21" t="s">
        <v>100</v>
      </c>
      <c r="C355" s="21" t="s">
        <v>96</v>
      </c>
      <c r="D355" s="6" t="s">
        <v>55</v>
      </c>
      <c r="E355" s="6">
        <v>3804015</v>
      </c>
      <c r="F355" s="6" t="s">
        <v>19</v>
      </c>
      <c r="G355" s="6" t="s">
        <v>20</v>
      </c>
      <c r="H355" s="6" t="s">
        <v>41</v>
      </c>
      <c r="I355" s="23">
        <v>14742.67</v>
      </c>
      <c r="J355" s="23">
        <v>18339.75</v>
      </c>
      <c r="K355" s="23">
        <v>927</v>
      </c>
      <c r="L355" s="23"/>
      <c r="M355" s="23">
        <f>4013.9-24.7</f>
        <v>3989.2000000000003</v>
      </c>
      <c r="N355" s="23">
        <v>254.62</v>
      </c>
      <c r="O355" s="23">
        <f>+Table24[[#This Row],[FoodcostBlueline]]+Table24[[#This Row],[Pepsico]]</f>
        <v>4243.8200000000006</v>
      </c>
      <c r="P355" s="24">
        <f t="shared" si="18"/>
        <v>0.28785966178446648</v>
      </c>
      <c r="Q355" s="24"/>
      <c r="R355" s="23">
        <v>4088.03</v>
      </c>
      <c r="S355" s="25">
        <f t="shared" si="19"/>
        <v>0.27729237648268601</v>
      </c>
      <c r="T355" s="36"/>
      <c r="U355" s="36">
        <f>Table24[[#This Row],[WagesPercent]]+Table24[[#This Row],[FoodCostPercent]]</f>
        <v>0.56515203826715243</v>
      </c>
      <c r="V355" s="36"/>
    </row>
    <row r="356" spans="1:22" x14ac:dyDescent="0.25">
      <c r="A356" s="20">
        <v>355</v>
      </c>
      <c r="B356" s="21" t="s">
        <v>100</v>
      </c>
      <c r="C356" s="21" t="s">
        <v>96</v>
      </c>
      <c r="D356" s="6" t="s">
        <v>55</v>
      </c>
      <c r="E356" s="6">
        <v>3804016</v>
      </c>
      <c r="F356" s="6" t="s">
        <v>21</v>
      </c>
      <c r="G356" s="6" t="s">
        <v>22</v>
      </c>
      <c r="H356" s="6" t="s">
        <v>40</v>
      </c>
      <c r="I356" s="23">
        <v>13103.97</v>
      </c>
      <c r="J356" s="23">
        <v>18136.34</v>
      </c>
      <c r="K356" s="23">
        <v>783</v>
      </c>
      <c r="L356" s="23"/>
      <c r="M356" s="23">
        <f>4561.95-12.35+230.63</f>
        <v>4780.2299999999996</v>
      </c>
      <c r="N356" s="23">
        <v>254.91</v>
      </c>
      <c r="O356" s="23">
        <f>+Table24[[#This Row],[FoodcostBlueline]]+Table24[[#This Row],[Pepsico]]</f>
        <v>5035.1399999999994</v>
      </c>
      <c r="P356" s="24">
        <f t="shared" si="18"/>
        <v>0.38424538517716383</v>
      </c>
      <c r="Q356" s="24"/>
      <c r="R356" s="23">
        <v>2988.92</v>
      </c>
      <c r="S356" s="25">
        <f t="shared" si="19"/>
        <v>0.22809270778245067</v>
      </c>
      <c r="T356" s="36"/>
      <c r="U356" s="36">
        <f>Table24[[#This Row],[WagesPercent]]+Table24[[#This Row],[FoodCostPercent]]</f>
        <v>0.6123380929596145</v>
      </c>
      <c r="V356" s="36"/>
    </row>
    <row r="357" spans="1:22" x14ac:dyDescent="0.25">
      <c r="A357" s="20">
        <v>356</v>
      </c>
      <c r="B357" s="21" t="s">
        <v>100</v>
      </c>
      <c r="C357" s="21" t="s">
        <v>96</v>
      </c>
      <c r="D357" s="6" t="s">
        <v>55</v>
      </c>
      <c r="E357" s="6">
        <v>3804017</v>
      </c>
      <c r="F357" s="6" t="s">
        <v>23</v>
      </c>
      <c r="G357" s="6" t="s">
        <v>22</v>
      </c>
      <c r="H357" s="6" t="s">
        <v>40</v>
      </c>
      <c r="I357" s="23">
        <v>17279.04</v>
      </c>
      <c r="J357" s="23">
        <v>22930.32</v>
      </c>
      <c r="K357" s="23">
        <v>1129</v>
      </c>
      <c r="L357" s="23"/>
      <c r="M357" s="23">
        <v>5522.43</v>
      </c>
      <c r="N357" s="23">
        <v>737.59</v>
      </c>
      <c r="O357" s="23">
        <f>+Table24[[#This Row],[FoodcostBlueline]]+Table24[[#This Row],[Pepsico]]</f>
        <v>6260.02</v>
      </c>
      <c r="P357" s="24">
        <f t="shared" si="18"/>
        <v>0.36228980313721132</v>
      </c>
      <c r="Q357" s="24"/>
      <c r="R357" s="23">
        <v>3666.97</v>
      </c>
      <c r="S357" s="25">
        <f t="shared" si="19"/>
        <v>0.21222070207604124</v>
      </c>
      <c r="T357" s="36"/>
      <c r="U357" s="36">
        <f>Table24[[#This Row],[WagesPercent]]+Table24[[#This Row],[FoodCostPercent]]</f>
        <v>0.57451050521325253</v>
      </c>
      <c r="V357" s="36"/>
    </row>
    <row r="358" spans="1:22" x14ac:dyDescent="0.25">
      <c r="A358" s="20">
        <v>357</v>
      </c>
      <c r="B358" s="21" t="s">
        <v>100</v>
      </c>
      <c r="C358" s="21" t="s">
        <v>96</v>
      </c>
      <c r="D358" s="6" t="s">
        <v>55</v>
      </c>
      <c r="E358" s="6">
        <v>3804018</v>
      </c>
      <c r="F358" s="6" t="s">
        <v>24</v>
      </c>
      <c r="G358" s="6" t="s">
        <v>20</v>
      </c>
      <c r="H358" s="6" t="s">
        <v>41</v>
      </c>
      <c r="I358" s="23">
        <v>19408.75</v>
      </c>
      <c r="J358" s="23">
        <v>21704.98</v>
      </c>
      <c r="K358" s="23">
        <v>1127</v>
      </c>
      <c r="L358" s="23"/>
      <c r="M358" s="23">
        <f>6532.25-12.35</f>
        <v>6519.9</v>
      </c>
      <c r="N358" s="23">
        <v>468.24</v>
      </c>
      <c r="O358" s="23">
        <f>+Table24[[#This Row],[FoodcostBlueline]]+Table24[[#This Row],[Pepsico]]</f>
        <v>6988.1399999999994</v>
      </c>
      <c r="P358" s="24">
        <f t="shared" si="18"/>
        <v>0.36005100792168476</v>
      </c>
      <c r="Q358" s="24"/>
      <c r="R358" s="23">
        <v>4168.17</v>
      </c>
      <c r="S358" s="25">
        <f t="shared" si="19"/>
        <v>0.21475726154440652</v>
      </c>
      <c r="T358" s="36"/>
      <c r="U358" s="36">
        <f>Table24[[#This Row],[WagesPercent]]+Table24[[#This Row],[FoodCostPercent]]</f>
        <v>0.57480826946609132</v>
      </c>
      <c r="V358" s="36"/>
    </row>
    <row r="359" spans="1:22" x14ac:dyDescent="0.25">
      <c r="A359" s="20">
        <v>358</v>
      </c>
      <c r="B359" s="21" t="s">
        <v>100</v>
      </c>
      <c r="C359" s="21" t="s">
        <v>96</v>
      </c>
      <c r="D359" s="6" t="s">
        <v>55</v>
      </c>
      <c r="E359" s="6">
        <v>3804019</v>
      </c>
      <c r="F359" s="6" t="s">
        <v>25</v>
      </c>
      <c r="G359" s="6" t="s">
        <v>20</v>
      </c>
      <c r="H359" s="6" t="s">
        <v>41</v>
      </c>
      <c r="I359" s="23">
        <v>12909.64</v>
      </c>
      <c r="J359" s="23">
        <v>15622.61</v>
      </c>
      <c r="K359" s="23">
        <v>813</v>
      </c>
      <c r="L359" s="23"/>
      <c r="M359" s="23">
        <v>3503.98</v>
      </c>
      <c r="N359" s="23">
        <v>0</v>
      </c>
      <c r="O359" s="23">
        <f>+Table24[[#This Row],[FoodcostBlueline]]+Table24[[#This Row],[Pepsico]]</f>
        <v>3503.98</v>
      </c>
      <c r="P359" s="24">
        <f t="shared" si="18"/>
        <v>0.27142352536554082</v>
      </c>
      <c r="Q359" s="24"/>
      <c r="R359" s="23">
        <v>3065.05</v>
      </c>
      <c r="S359" s="25">
        <f t="shared" si="19"/>
        <v>0.2374233518517945</v>
      </c>
      <c r="T359" s="36"/>
      <c r="U359" s="36">
        <f>Table24[[#This Row],[WagesPercent]]+Table24[[#This Row],[FoodCostPercent]]</f>
        <v>0.50884687721733535</v>
      </c>
      <c r="V359" s="36"/>
    </row>
    <row r="360" spans="1:22" x14ac:dyDescent="0.25">
      <c r="A360" s="20">
        <v>359</v>
      </c>
      <c r="B360" s="21" t="s">
        <v>100</v>
      </c>
      <c r="C360" s="21" t="s">
        <v>96</v>
      </c>
      <c r="D360" s="6" t="s">
        <v>55</v>
      </c>
      <c r="E360" s="6">
        <v>3804020</v>
      </c>
      <c r="F360" s="6" t="s">
        <v>26</v>
      </c>
      <c r="G360" s="6" t="s">
        <v>22</v>
      </c>
      <c r="H360" s="6" t="s">
        <v>40</v>
      </c>
      <c r="I360" s="23">
        <v>12159.8</v>
      </c>
      <c r="J360" s="23">
        <v>15341.91</v>
      </c>
      <c r="K360" s="23">
        <v>710</v>
      </c>
      <c r="L360" s="23"/>
      <c r="M360" s="23">
        <v>3026.41</v>
      </c>
      <c r="N360" s="23">
        <v>205.3</v>
      </c>
      <c r="O360" s="23">
        <f>+Table24[[#This Row],[FoodcostBlueline]]+Table24[[#This Row],[Pepsico]]</f>
        <v>3231.71</v>
      </c>
      <c r="P360" s="24">
        <f t="shared" si="18"/>
        <v>0.26576999621704306</v>
      </c>
      <c r="Q360" s="24"/>
      <c r="R360" s="23">
        <v>2523.7199999999998</v>
      </c>
      <c r="S360" s="25">
        <f t="shared" si="19"/>
        <v>0.20754617674632805</v>
      </c>
      <c r="T360" s="36"/>
      <c r="U360" s="36">
        <f>Table24[[#This Row],[WagesPercent]]+Table24[[#This Row],[FoodCostPercent]]</f>
        <v>0.47331617296337114</v>
      </c>
      <c r="V360" s="36"/>
    </row>
    <row r="361" spans="1:22" x14ac:dyDescent="0.25">
      <c r="A361" s="20">
        <v>360</v>
      </c>
      <c r="B361" s="21" t="s">
        <v>100</v>
      </c>
      <c r="C361" s="21" t="s">
        <v>96</v>
      </c>
      <c r="D361" s="6" t="s">
        <v>55</v>
      </c>
      <c r="E361" s="6">
        <v>3804021</v>
      </c>
      <c r="F361" s="6" t="s">
        <v>27</v>
      </c>
      <c r="G361" s="6" t="s">
        <v>22</v>
      </c>
      <c r="H361" s="6" t="s">
        <v>40</v>
      </c>
      <c r="I361" s="23">
        <v>22886.799999999999</v>
      </c>
      <c r="J361" s="23">
        <v>33763.07</v>
      </c>
      <c r="K361" s="23">
        <v>1405</v>
      </c>
      <c r="L361" s="23"/>
      <c r="M361" s="23">
        <f>7976.32+170.42</f>
        <v>8146.74</v>
      </c>
      <c r="N361" s="23">
        <v>781.78</v>
      </c>
      <c r="O361" s="23">
        <f>+Table24[[#This Row],[FoodcostBlueline]]+Table24[[#This Row],[Pepsico]]</f>
        <v>8928.52</v>
      </c>
      <c r="P361" s="24">
        <f t="shared" si="18"/>
        <v>0.39011657374556519</v>
      </c>
      <c r="Q361" s="24"/>
      <c r="R361" s="23">
        <v>5136.95</v>
      </c>
      <c r="S361" s="25">
        <f t="shared" si="19"/>
        <v>0.22445033818620341</v>
      </c>
      <c r="T361" s="36"/>
      <c r="U361" s="36">
        <f>Table24[[#This Row],[WagesPercent]]+Table24[[#This Row],[FoodCostPercent]]</f>
        <v>0.6145669119317686</v>
      </c>
      <c r="V361" s="36"/>
    </row>
    <row r="362" spans="1:22" x14ac:dyDescent="0.25">
      <c r="A362" s="20">
        <v>361</v>
      </c>
      <c r="B362" s="21" t="s">
        <v>100</v>
      </c>
      <c r="C362" s="21" t="s">
        <v>96</v>
      </c>
      <c r="D362" s="6" t="s">
        <v>55</v>
      </c>
      <c r="E362" s="6">
        <v>3804022</v>
      </c>
      <c r="F362" s="6" t="s">
        <v>28</v>
      </c>
      <c r="G362" s="6" t="s">
        <v>22</v>
      </c>
      <c r="H362" s="6" t="s">
        <v>40</v>
      </c>
      <c r="I362" s="23">
        <v>5300.22</v>
      </c>
      <c r="J362" s="23">
        <v>14933.86</v>
      </c>
      <c r="K362" s="23">
        <v>335</v>
      </c>
      <c r="L362" s="23"/>
      <c r="M362" s="23">
        <v>4268.07</v>
      </c>
      <c r="N362" s="23">
        <v>347.36</v>
      </c>
      <c r="O362" s="23">
        <f>+Table24[[#This Row],[FoodcostBlueline]]+Table24[[#This Row],[Pepsico]]</f>
        <v>4615.4299999999994</v>
      </c>
      <c r="P362" s="24">
        <f t="shared" si="18"/>
        <v>0.87079970265385198</v>
      </c>
      <c r="Q362" s="24"/>
      <c r="R362" s="23">
        <v>1555.41</v>
      </c>
      <c r="S362" s="25">
        <f t="shared" si="19"/>
        <v>0.29346140348891181</v>
      </c>
      <c r="T362" s="36"/>
      <c r="U362" s="36">
        <f>Table24[[#This Row],[WagesPercent]]+Table24[[#This Row],[FoodCostPercent]]</f>
        <v>1.1642611061427637</v>
      </c>
      <c r="V362" s="36"/>
    </row>
    <row r="363" spans="1:22" x14ac:dyDescent="0.25">
      <c r="A363" s="20">
        <v>362</v>
      </c>
      <c r="B363" s="21" t="s">
        <v>100</v>
      </c>
      <c r="C363" s="21" t="s">
        <v>96</v>
      </c>
      <c r="D363" s="6" t="s">
        <v>55</v>
      </c>
      <c r="E363" s="6">
        <v>3804023</v>
      </c>
      <c r="F363" s="6" t="s">
        <v>29</v>
      </c>
      <c r="G363" s="6" t="s">
        <v>22</v>
      </c>
      <c r="H363" s="6" t="s">
        <v>40</v>
      </c>
      <c r="I363" s="23">
        <v>13729.01</v>
      </c>
      <c r="J363" s="23">
        <v>17145.87</v>
      </c>
      <c r="K363" s="23">
        <v>871</v>
      </c>
      <c r="L363" s="23"/>
      <c r="M363" s="23">
        <f>5018.76+230.63-42.24</f>
        <v>5207.1500000000005</v>
      </c>
      <c r="N363" s="23">
        <v>499.86</v>
      </c>
      <c r="O363" s="23">
        <f>+Table24[[#This Row],[FoodcostBlueline]]+Table24[[#This Row],[Pepsico]]</f>
        <v>5707.01</v>
      </c>
      <c r="P363" s="24">
        <f t="shared" si="18"/>
        <v>0.41568984216633248</v>
      </c>
      <c r="Q363" s="24"/>
      <c r="R363" s="23">
        <v>3118.45</v>
      </c>
      <c r="S363" s="25">
        <f t="shared" si="19"/>
        <v>0.22714310791528303</v>
      </c>
      <c r="T363" s="36"/>
      <c r="U363" s="36">
        <f>Table24[[#This Row],[WagesPercent]]+Table24[[#This Row],[FoodCostPercent]]</f>
        <v>0.64283295008161545</v>
      </c>
      <c r="V363" s="36"/>
    </row>
    <row r="364" spans="1:22" x14ac:dyDescent="0.25">
      <c r="A364" s="20">
        <v>363</v>
      </c>
      <c r="B364" s="21" t="s">
        <v>100</v>
      </c>
      <c r="C364" s="21" t="s">
        <v>96</v>
      </c>
      <c r="D364" s="6" t="s">
        <v>55</v>
      </c>
      <c r="E364" s="6">
        <v>3804024</v>
      </c>
      <c r="F364" s="6" t="s">
        <v>30</v>
      </c>
      <c r="G364" s="6" t="s">
        <v>20</v>
      </c>
      <c r="H364" s="6" t="s">
        <v>41</v>
      </c>
      <c r="I364" s="23">
        <v>10413.56</v>
      </c>
      <c r="J364" s="23">
        <v>17855.03</v>
      </c>
      <c r="K364" s="23">
        <v>683</v>
      </c>
      <c r="L364" s="23"/>
      <c r="M364" s="23">
        <f>3114.2-12.35</f>
        <v>3101.85</v>
      </c>
      <c r="N364" s="23">
        <v>247.47</v>
      </c>
      <c r="O364" s="23">
        <f>+Table24[[#This Row],[FoodcostBlueline]]+Table24[[#This Row],[Pepsico]]</f>
        <v>3349.3199999999997</v>
      </c>
      <c r="P364" s="24">
        <f t="shared" si="18"/>
        <v>0.32163064312300499</v>
      </c>
      <c r="Q364" s="24"/>
      <c r="R364" s="23">
        <f>3009.49+69.23</f>
        <v>3078.72</v>
      </c>
      <c r="S364" s="25">
        <f t="shared" si="19"/>
        <v>0.29564529325225952</v>
      </c>
      <c r="T364" s="36"/>
      <c r="U364" s="36">
        <f>Table24[[#This Row],[WagesPercent]]+Table24[[#This Row],[FoodCostPercent]]</f>
        <v>0.61727593637526446</v>
      </c>
      <c r="V364" s="36"/>
    </row>
    <row r="365" spans="1:22" x14ac:dyDescent="0.25">
      <c r="A365" s="20">
        <v>364</v>
      </c>
      <c r="B365" s="21" t="s">
        <v>100</v>
      </c>
      <c r="C365" s="21" t="s">
        <v>96</v>
      </c>
      <c r="D365" s="6" t="s">
        <v>55</v>
      </c>
      <c r="E365" s="6">
        <v>3804025</v>
      </c>
      <c r="F365" s="6" t="s">
        <v>31</v>
      </c>
      <c r="G365" s="6" t="s">
        <v>20</v>
      </c>
      <c r="H365" s="6" t="s">
        <v>41</v>
      </c>
      <c r="I365" s="23">
        <v>25534.25</v>
      </c>
      <c r="J365" s="23">
        <v>33021.730000000003</v>
      </c>
      <c r="K365" s="23">
        <v>1574</v>
      </c>
      <c r="L365" s="23"/>
      <c r="M365" s="23">
        <f>7111.62-12.35-23.52</f>
        <v>7075.7499999999991</v>
      </c>
      <c r="N365" s="23">
        <v>0</v>
      </c>
      <c r="O365" s="23">
        <f>+Table24[[#This Row],[FoodcostBlueline]]+Table24[[#This Row],[Pepsico]]</f>
        <v>7075.7499999999991</v>
      </c>
      <c r="P365" s="24">
        <f t="shared" si="18"/>
        <v>0.27710819781274165</v>
      </c>
      <c r="Q365" s="24"/>
      <c r="R365" s="23">
        <v>5367.22</v>
      </c>
      <c r="S365" s="25">
        <f t="shared" si="19"/>
        <v>0.21019689240921507</v>
      </c>
      <c r="T365" s="36"/>
      <c r="U365" s="36">
        <f>Table24[[#This Row],[WagesPercent]]+Table24[[#This Row],[FoodCostPercent]]</f>
        <v>0.48730509022195673</v>
      </c>
      <c r="V365" s="36"/>
    </row>
    <row r="366" spans="1:22" x14ac:dyDescent="0.25">
      <c r="A366" s="20">
        <v>365</v>
      </c>
      <c r="B366" s="21" t="s">
        <v>100</v>
      </c>
      <c r="C366" s="21" t="s">
        <v>96</v>
      </c>
      <c r="D366" s="6" t="s">
        <v>55</v>
      </c>
      <c r="E366" s="6">
        <v>3804026</v>
      </c>
      <c r="F366" s="6" t="s">
        <v>32</v>
      </c>
      <c r="G366" s="6" t="s">
        <v>79</v>
      </c>
      <c r="H366" s="6" t="s">
        <v>41</v>
      </c>
      <c r="I366" s="23">
        <v>12878.94</v>
      </c>
      <c r="J366" s="23">
        <v>17619.78</v>
      </c>
      <c r="K366" s="23">
        <v>790</v>
      </c>
      <c r="L366" s="23"/>
      <c r="M366" s="23">
        <v>3738.3</v>
      </c>
      <c r="N366" s="23">
        <v>236.94</v>
      </c>
      <c r="O366" s="23">
        <f>+Table24[[#This Row],[FoodcostBlueline]]+Table24[[#This Row],[Pepsico]]</f>
        <v>3975.2400000000002</v>
      </c>
      <c r="P366" s="24">
        <f t="shared" si="18"/>
        <v>0.30866204827415922</v>
      </c>
      <c r="Q366" s="24"/>
      <c r="R366" s="23">
        <v>3576.75</v>
      </c>
      <c r="S366" s="25">
        <f t="shared" si="19"/>
        <v>0.27772083727387503</v>
      </c>
      <c r="T366" s="36"/>
      <c r="U366" s="36">
        <f>Table24[[#This Row],[WagesPercent]]+Table24[[#This Row],[FoodCostPercent]]</f>
        <v>0.58638288554803419</v>
      </c>
      <c r="V366" s="36"/>
    </row>
    <row r="367" spans="1:22" x14ac:dyDescent="0.25">
      <c r="A367" s="20">
        <v>366</v>
      </c>
      <c r="B367" s="21" t="s">
        <v>100</v>
      </c>
      <c r="C367" s="21" t="s">
        <v>96</v>
      </c>
      <c r="D367" s="6" t="s">
        <v>55</v>
      </c>
      <c r="E367" s="6">
        <v>3804027</v>
      </c>
      <c r="F367" s="6" t="s">
        <v>33</v>
      </c>
      <c r="G367" s="6" t="s">
        <v>43</v>
      </c>
      <c r="H367" s="6" t="s">
        <v>41</v>
      </c>
      <c r="I367" s="23">
        <v>18132.22</v>
      </c>
      <c r="J367" s="23">
        <v>16227.67</v>
      </c>
      <c r="K367" s="23">
        <v>1300</v>
      </c>
      <c r="L367" s="23"/>
      <c r="M367" s="23">
        <f>4828.79-25.05</f>
        <v>4803.74</v>
      </c>
      <c r="N367" s="23">
        <v>0</v>
      </c>
      <c r="O367" s="23">
        <f>+Table24[[#This Row],[FoodcostBlueline]]+Table24[[#This Row],[Pepsico]]</f>
        <v>4803.74</v>
      </c>
      <c r="P367" s="24">
        <f t="shared" si="18"/>
        <v>0.26492839817738806</v>
      </c>
      <c r="Q367" s="24"/>
      <c r="R367" s="23">
        <f>2184.05+277+2558</f>
        <v>5019.05</v>
      </c>
      <c r="S367" s="25">
        <f t="shared" si="19"/>
        <v>0.27680284046851406</v>
      </c>
      <c r="T367" s="36"/>
      <c r="U367" s="36">
        <f>Table24[[#This Row],[WagesPercent]]+Table24[[#This Row],[FoodCostPercent]]</f>
        <v>0.54173123864590211</v>
      </c>
      <c r="V367" s="36"/>
    </row>
    <row r="368" spans="1:22" x14ac:dyDescent="0.25">
      <c r="A368" s="20">
        <v>367</v>
      </c>
      <c r="B368" s="21" t="s">
        <v>100</v>
      </c>
      <c r="C368" s="21" t="s">
        <v>96</v>
      </c>
      <c r="D368" s="6" t="s">
        <v>55</v>
      </c>
      <c r="E368" s="6">
        <v>3804029</v>
      </c>
      <c r="F368" s="6" t="s">
        <v>34</v>
      </c>
      <c r="G368" s="6" t="s">
        <v>79</v>
      </c>
      <c r="H368" s="6" t="s">
        <v>41</v>
      </c>
      <c r="I368" s="23">
        <v>10234.01</v>
      </c>
      <c r="J368" s="23">
        <v>12389.86</v>
      </c>
      <c r="K368" s="23">
        <v>687</v>
      </c>
      <c r="L368" s="23"/>
      <c r="M368" s="23">
        <v>3187.38</v>
      </c>
      <c r="N368" s="23">
        <v>242.05</v>
      </c>
      <c r="O368" s="23">
        <f>+Table24[[#This Row],[FoodcostBlueline]]+Table24[[#This Row],[Pepsico]]</f>
        <v>3429.4300000000003</v>
      </c>
      <c r="P368" s="24">
        <f t="shared" si="18"/>
        <v>0.33510129460494958</v>
      </c>
      <c r="Q368" s="24"/>
      <c r="R368" s="23">
        <f>27.81+2370</f>
        <v>2397.81</v>
      </c>
      <c r="S368" s="25">
        <f t="shared" si="19"/>
        <v>0.23429818810026568</v>
      </c>
      <c r="T368" s="36"/>
      <c r="U368" s="36">
        <f>Table24[[#This Row],[WagesPercent]]+Table24[[#This Row],[FoodCostPercent]]</f>
        <v>0.56939948270521523</v>
      </c>
      <c r="V368" s="36"/>
    </row>
    <row r="369" spans="1:22" x14ac:dyDescent="0.25">
      <c r="A369" s="20">
        <v>368</v>
      </c>
      <c r="B369" s="21" t="s">
        <v>100</v>
      </c>
      <c r="C369" s="21" t="s">
        <v>96</v>
      </c>
      <c r="D369" s="6" t="s">
        <v>55</v>
      </c>
      <c r="E369" s="6">
        <v>3804030</v>
      </c>
      <c r="F369" s="6" t="s">
        <v>35</v>
      </c>
      <c r="G369" s="6" t="s">
        <v>5</v>
      </c>
      <c r="H369" s="6" t="s">
        <v>40</v>
      </c>
      <c r="I369" s="23">
        <v>8879.1200000000008</v>
      </c>
      <c r="J369" s="23">
        <v>13844.1</v>
      </c>
      <c r="K369" s="23">
        <v>533</v>
      </c>
      <c r="L369" s="23"/>
      <c r="M369" s="23">
        <v>2549.15</v>
      </c>
      <c r="N369" s="23">
        <v>172.68</v>
      </c>
      <c r="O369" s="23">
        <f>+Table24[[#This Row],[FoodcostBlueline]]+Table24[[#This Row],[Pepsico]]</f>
        <v>2721.83</v>
      </c>
      <c r="P369" s="24">
        <f t="shared" si="18"/>
        <v>0.30654276549928366</v>
      </c>
      <c r="Q369" s="24"/>
      <c r="R369" s="23">
        <v>2555.4699999999998</v>
      </c>
      <c r="S369" s="25">
        <f t="shared" si="19"/>
        <v>0.28780667453531428</v>
      </c>
      <c r="T369" s="36"/>
      <c r="U369" s="36">
        <f>Table24[[#This Row],[WagesPercent]]+Table24[[#This Row],[FoodCostPercent]]</f>
        <v>0.59434944003459789</v>
      </c>
      <c r="V369" s="36"/>
    </row>
    <row r="370" spans="1:22" x14ac:dyDescent="0.25">
      <c r="A370" s="20">
        <v>369</v>
      </c>
      <c r="B370" s="21" t="s">
        <v>100</v>
      </c>
      <c r="C370" s="21" t="s">
        <v>96</v>
      </c>
      <c r="D370" s="6" t="s">
        <v>55</v>
      </c>
      <c r="E370" s="6">
        <v>3804031</v>
      </c>
      <c r="F370" s="6" t="s">
        <v>36</v>
      </c>
      <c r="G370" s="6" t="s">
        <v>5</v>
      </c>
      <c r="H370" s="6" t="s">
        <v>40</v>
      </c>
      <c r="I370" s="23">
        <v>10910.47</v>
      </c>
      <c r="J370" s="23">
        <v>9441.01</v>
      </c>
      <c r="K370" s="23">
        <v>744</v>
      </c>
      <c r="L370" s="23"/>
      <c r="M370" s="23">
        <v>3013.01</v>
      </c>
      <c r="N370" s="23">
        <v>199.16</v>
      </c>
      <c r="O370" s="23">
        <f>+Table24[[#This Row],[FoodcostBlueline]]+Table24[[#This Row],[Pepsico]]</f>
        <v>3212.17</v>
      </c>
      <c r="P370" s="24">
        <f t="shared" si="18"/>
        <v>0.29441169812116252</v>
      </c>
      <c r="Q370" s="24"/>
      <c r="R370" s="37">
        <f>2368.27+760</f>
        <v>3128.27</v>
      </c>
      <c r="S370" s="25">
        <f t="shared" si="19"/>
        <v>0.28672183691445008</v>
      </c>
      <c r="T370" s="36"/>
      <c r="U370" s="36">
        <f>Table24[[#This Row],[WagesPercent]]+Table24[[#This Row],[FoodCostPercent]]</f>
        <v>0.5811335350356126</v>
      </c>
      <c r="V370" s="36"/>
    </row>
    <row r="371" spans="1:22" x14ac:dyDescent="0.25">
      <c r="A371" s="20">
        <v>370</v>
      </c>
      <c r="B371" s="21" t="s">
        <v>100</v>
      </c>
      <c r="C371" s="21" t="s">
        <v>96</v>
      </c>
      <c r="D371" s="6" t="s">
        <v>55</v>
      </c>
      <c r="E371" s="6">
        <v>3804032</v>
      </c>
      <c r="F371" s="6" t="s">
        <v>37</v>
      </c>
      <c r="G371" s="6" t="s">
        <v>5</v>
      </c>
      <c r="H371" s="6" t="s">
        <v>40</v>
      </c>
      <c r="I371" s="23">
        <v>9172.5400000000009</v>
      </c>
      <c r="J371" s="23">
        <v>4433.26</v>
      </c>
      <c r="K371" s="23">
        <v>574</v>
      </c>
      <c r="L371" s="23"/>
      <c r="M371" s="23">
        <v>2424.71</v>
      </c>
      <c r="N371" s="23">
        <v>0</v>
      </c>
      <c r="O371" s="23">
        <f>+Table24[[#This Row],[FoodcostBlueline]]+Table24[[#This Row],[Pepsico]]</f>
        <v>2424.71</v>
      </c>
      <c r="P371" s="24">
        <f t="shared" si="18"/>
        <v>0.26434444548620117</v>
      </c>
      <c r="Q371" s="24"/>
      <c r="R371" s="23">
        <f>1350+850+200</f>
        <v>2400</v>
      </c>
      <c r="S371" s="25">
        <f t="shared" si="19"/>
        <v>0.26165053518436548</v>
      </c>
      <c r="T371" s="36"/>
      <c r="U371" s="36">
        <f>Table24[[#This Row],[WagesPercent]]+Table24[[#This Row],[FoodCostPercent]]</f>
        <v>0.5259949806705666</v>
      </c>
      <c r="V371" s="36"/>
    </row>
    <row r="372" spans="1:22" x14ac:dyDescent="0.25">
      <c r="A372" s="20">
        <v>371</v>
      </c>
      <c r="B372" s="21" t="s">
        <v>100</v>
      </c>
      <c r="C372" s="21" t="s">
        <v>96</v>
      </c>
      <c r="D372" s="6" t="s">
        <v>55</v>
      </c>
      <c r="E372" s="6">
        <v>3804033</v>
      </c>
      <c r="F372" s="6" t="s">
        <v>38</v>
      </c>
      <c r="G372" s="6" t="s">
        <v>5</v>
      </c>
      <c r="H372" s="6" t="s">
        <v>40</v>
      </c>
      <c r="I372" s="23">
        <v>7933.12</v>
      </c>
      <c r="J372" s="23">
        <v>10683.36</v>
      </c>
      <c r="K372" s="23">
        <v>575</v>
      </c>
      <c r="L372" s="23"/>
      <c r="M372" s="23">
        <v>2035.67</v>
      </c>
      <c r="N372" s="23">
        <v>0</v>
      </c>
      <c r="O372" s="23">
        <f>+Table24[[#This Row],[FoodcostBlueline]]+Table24[[#This Row],[Pepsico]]</f>
        <v>2035.67</v>
      </c>
      <c r="P372" s="24">
        <f t="shared" si="18"/>
        <v>0.25660395909805978</v>
      </c>
      <c r="Q372" s="24"/>
      <c r="R372" s="23">
        <f>1350+850+165.58</f>
        <v>2365.58</v>
      </c>
      <c r="S372" s="25">
        <f t="shared" si="19"/>
        <v>0.29819037150578837</v>
      </c>
      <c r="T372" s="36"/>
      <c r="U372" s="36">
        <f>Table24[[#This Row],[WagesPercent]]+Table24[[#This Row],[FoodCostPercent]]</f>
        <v>0.55479433060384808</v>
      </c>
      <c r="V372" s="36"/>
    </row>
    <row r="373" spans="1:22" x14ac:dyDescent="0.25">
      <c r="A373" s="20">
        <v>372</v>
      </c>
      <c r="B373" s="21" t="s">
        <v>100</v>
      </c>
      <c r="C373" s="21" t="s">
        <v>96</v>
      </c>
      <c r="D373" s="6" t="s">
        <v>55</v>
      </c>
      <c r="E373" s="6">
        <v>3804034</v>
      </c>
      <c r="F373" s="6" t="s">
        <v>53</v>
      </c>
      <c r="G373" s="6" t="s">
        <v>79</v>
      </c>
      <c r="H373" s="6" t="s">
        <v>41</v>
      </c>
      <c r="I373" s="23">
        <v>8447.09</v>
      </c>
      <c r="J373" s="23">
        <v>16459</v>
      </c>
      <c r="K373" s="23">
        <v>488</v>
      </c>
      <c r="L373" s="23"/>
      <c r="M373" s="23">
        <f>2572.05-24.7</f>
        <v>2547.3500000000004</v>
      </c>
      <c r="N373" s="23">
        <v>0</v>
      </c>
      <c r="O373" s="23">
        <f>+Table24[[#This Row],[FoodcostBlueline]]+Table24[[#This Row],[Pepsico]]</f>
        <v>2547.3500000000004</v>
      </c>
      <c r="P373" s="24">
        <f t="shared" si="18"/>
        <v>0.30156539115837527</v>
      </c>
      <c r="Q373" s="24"/>
      <c r="R373" s="23">
        <v>2400</v>
      </c>
      <c r="S373" s="25">
        <f t="shared" si="19"/>
        <v>0.28412151403619473</v>
      </c>
      <c r="T373" s="36"/>
      <c r="U373" s="36">
        <f>Table24[[#This Row],[WagesPercent]]+Table24[[#This Row],[FoodCostPercent]]</f>
        <v>0.58568690519457001</v>
      </c>
      <c r="V373" s="36"/>
    </row>
    <row r="374" spans="1:22" x14ac:dyDescent="0.25">
      <c r="A374" s="20">
        <v>373</v>
      </c>
      <c r="B374" s="21" t="s">
        <v>101</v>
      </c>
      <c r="C374" s="21" t="s">
        <v>102</v>
      </c>
      <c r="D374" s="6" t="s">
        <v>56</v>
      </c>
      <c r="E374" s="6">
        <v>3804001</v>
      </c>
      <c r="F374" s="6" t="s">
        <v>4</v>
      </c>
      <c r="G374" s="6" t="s">
        <v>5</v>
      </c>
      <c r="H374" s="6" t="s">
        <v>40</v>
      </c>
      <c r="I374" s="23">
        <v>27249.62</v>
      </c>
      <c r="J374" s="23">
        <v>34442.68</v>
      </c>
      <c r="K374" s="23">
        <v>1836</v>
      </c>
      <c r="L374" s="23"/>
      <c r="M374" s="23">
        <v>7242.83</v>
      </c>
      <c r="N374" s="23">
        <v>773.79</v>
      </c>
      <c r="O374" s="23">
        <f>+Table24[[#This Row],[FoodcostBlueline]]+Table24[[#This Row],[Pepsico]]</f>
        <v>8016.62</v>
      </c>
      <c r="P374" s="24">
        <f t="shared" si="18"/>
        <v>0.29419199240209587</v>
      </c>
      <c r="Q374" s="24"/>
      <c r="R374" s="23">
        <f>5142.47+165.58+1488</f>
        <v>6796.05</v>
      </c>
      <c r="S374" s="25">
        <f t="shared" si="19"/>
        <v>0.24939980814411358</v>
      </c>
      <c r="T374" s="36"/>
      <c r="U374" s="36">
        <f>Table24[[#This Row],[WagesPercent]]+Table24[[#This Row],[FoodCostPercent]]</f>
        <v>0.54359180054620948</v>
      </c>
      <c r="V374" s="36"/>
    </row>
    <row r="375" spans="1:22" x14ac:dyDescent="0.25">
      <c r="A375" s="20">
        <v>374</v>
      </c>
      <c r="B375" s="21" t="s">
        <v>101</v>
      </c>
      <c r="C375" s="21" t="s">
        <v>102</v>
      </c>
      <c r="D375" s="6" t="s">
        <v>56</v>
      </c>
      <c r="E375" s="6">
        <v>3804002</v>
      </c>
      <c r="F375" s="6" t="s">
        <v>6</v>
      </c>
      <c r="G375" s="6" t="s">
        <v>7</v>
      </c>
      <c r="H375" s="6" t="s">
        <v>41</v>
      </c>
      <c r="I375" s="23">
        <v>14213.49</v>
      </c>
      <c r="J375" s="23">
        <v>19141.32</v>
      </c>
      <c r="K375" s="23">
        <v>1128</v>
      </c>
      <c r="L375" s="23"/>
      <c r="M375" s="23">
        <f>3277.29+444.54</f>
        <v>3721.83</v>
      </c>
      <c r="N375" s="23">
        <v>321.95</v>
      </c>
      <c r="O375" s="23">
        <f>+Table24[[#This Row],[FoodcostBlueline]]+Table24[[#This Row],[Pepsico]]</f>
        <v>4043.7799999999997</v>
      </c>
      <c r="P375" s="24">
        <f t="shared" si="18"/>
        <v>0.28450296162307775</v>
      </c>
      <c r="Q375" s="24"/>
      <c r="R375" s="23">
        <v>3426.65</v>
      </c>
      <c r="S375" s="25">
        <f t="shared" si="19"/>
        <v>0.24108435014904855</v>
      </c>
      <c r="T375" s="36"/>
      <c r="U375" s="36">
        <f>Table24[[#This Row],[WagesPercent]]+Table24[[#This Row],[FoodCostPercent]]</f>
        <v>0.52558731177212636</v>
      </c>
      <c r="V375" s="36"/>
    </row>
    <row r="376" spans="1:22" x14ac:dyDescent="0.25">
      <c r="A376" s="20">
        <v>375</v>
      </c>
      <c r="B376" s="21" t="s">
        <v>101</v>
      </c>
      <c r="C376" s="21" t="s">
        <v>102</v>
      </c>
      <c r="D376" s="6" t="s">
        <v>56</v>
      </c>
      <c r="E376" s="6">
        <v>3804003</v>
      </c>
      <c r="F376" s="6" t="s">
        <v>8</v>
      </c>
      <c r="G376" s="6" t="s">
        <v>7</v>
      </c>
      <c r="H376" s="6" t="s">
        <v>41</v>
      </c>
      <c r="I376" s="23">
        <v>12024.75</v>
      </c>
      <c r="J376" s="23">
        <v>14122.48</v>
      </c>
      <c r="K376" s="23">
        <v>773</v>
      </c>
      <c r="L376" s="23"/>
      <c r="M376" s="23">
        <v>3075.39</v>
      </c>
      <c r="N376" s="23">
        <v>0</v>
      </c>
      <c r="O376" s="23">
        <f>+Table24[[#This Row],[FoodcostBlueline]]+Table24[[#This Row],[Pepsico]]</f>
        <v>3075.39</v>
      </c>
      <c r="P376" s="24">
        <f t="shared" si="18"/>
        <v>0.25575500530156553</v>
      </c>
      <c r="Q376" s="24"/>
      <c r="R376" s="23">
        <f>2779.67+50</f>
        <v>2829.67</v>
      </c>
      <c r="S376" s="25">
        <f t="shared" si="19"/>
        <v>0.23532048483336451</v>
      </c>
      <c r="T376" s="36"/>
      <c r="U376" s="36">
        <f>Table24[[#This Row],[WagesPercent]]+Table24[[#This Row],[FoodCostPercent]]</f>
        <v>0.49107549013493001</v>
      </c>
      <c r="V376" s="36"/>
    </row>
    <row r="377" spans="1:22" x14ac:dyDescent="0.25">
      <c r="A377" s="20">
        <v>376</v>
      </c>
      <c r="B377" s="21" t="s">
        <v>101</v>
      </c>
      <c r="C377" s="21" t="s">
        <v>102</v>
      </c>
      <c r="D377" s="6" t="s">
        <v>56</v>
      </c>
      <c r="E377" s="6">
        <v>3804004</v>
      </c>
      <c r="F377" s="6" t="s">
        <v>9</v>
      </c>
      <c r="G377" s="6" t="s">
        <v>7</v>
      </c>
      <c r="H377" s="6" t="s">
        <v>41</v>
      </c>
      <c r="I377" s="23">
        <v>16589.63</v>
      </c>
      <c r="J377" s="23">
        <v>20591.310000000001</v>
      </c>
      <c r="K377" s="23">
        <v>1075</v>
      </c>
      <c r="L377" s="23"/>
      <c r="M377" s="23">
        <f>-12.35+360.19+4039.97</f>
        <v>4387.8099999999995</v>
      </c>
      <c r="N377" s="23">
        <v>477.53</v>
      </c>
      <c r="O377" s="23">
        <f>+Table24[[#This Row],[FoodcostBlueline]]+Table24[[#This Row],[Pepsico]]</f>
        <v>4865.3399999999992</v>
      </c>
      <c r="P377" s="24">
        <f t="shared" si="18"/>
        <v>0.29327598023584606</v>
      </c>
      <c r="Q377" s="24"/>
      <c r="R377" s="23">
        <v>3530.4</v>
      </c>
      <c r="S377" s="25">
        <f t="shared" si="19"/>
        <v>0.2128076394711636</v>
      </c>
      <c r="T377" s="36"/>
      <c r="U377" s="36">
        <f>Table24[[#This Row],[WagesPercent]]+Table24[[#This Row],[FoodCostPercent]]</f>
        <v>0.50608361970700966</v>
      </c>
      <c r="V377" s="36"/>
    </row>
    <row r="378" spans="1:22" x14ac:dyDescent="0.25">
      <c r="A378" s="20">
        <v>377</v>
      </c>
      <c r="B378" s="21" t="s">
        <v>101</v>
      </c>
      <c r="C378" s="21" t="s">
        <v>102</v>
      </c>
      <c r="D378" s="6" t="s">
        <v>56</v>
      </c>
      <c r="E378" s="6">
        <v>3804005</v>
      </c>
      <c r="F378" s="6" t="s">
        <v>10</v>
      </c>
      <c r="G378" s="6" t="s">
        <v>7</v>
      </c>
      <c r="H378" s="6" t="s">
        <v>41</v>
      </c>
      <c r="I378" s="23">
        <v>15094.6</v>
      </c>
      <c r="J378" s="23">
        <v>15555.63</v>
      </c>
      <c r="K378" s="23">
        <v>957</v>
      </c>
      <c r="L378" s="23"/>
      <c r="M378" s="23">
        <f>3324.44+251.8+60</f>
        <v>3636.2400000000002</v>
      </c>
      <c r="N378" s="23">
        <v>431.8</v>
      </c>
      <c r="O378" s="23">
        <f>+Table24[[#This Row],[FoodcostBlueline]]+Table24[[#This Row],[Pepsico]]</f>
        <v>4068.0400000000004</v>
      </c>
      <c r="P378" s="24">
        <f t="shared" si="18"/>
        <v>0.2695030010732315</v>
      </c>
      <c r="Q378" s="24"/>
      <c r="R378" s="23">
        <v>3044.41</v>
      </c>
      <c r="S378" s="25">
        <f t="shared" si="19"/>
        <v>0.20168868337021184</v>
      </c>
      <c r="T378" s="36"/>
      <c r="U378" s="36">
        <f>Table24[[#This Row],[WagesPercent]]+Table24[[#This Row],[FoodCostPercent]]</f>
        <v>0.47119168444344334</v>
      </c>
      <c r="V378" s="36"/>
    </row>
    <row r="379" spans="1:22" x14ac:dyDescent="0.25">
      <c r="A379" s="20">
        <v>378</v>
      </c>
      <c r="B379" s="21" t="s">
        <v>101</v>
      </c>
      <c r="C379" s="21" t="s">
        <v>102</v>
      </c>
      <c r="D379" s="6" t="s">
        <v>56</v>
      </c>
      <c r="E379" s="6">
        <v>3804006</v>
      </c>
      <c r="F379" s="6" t="s">
        <v>11</v>
      </c>
      <c r="G379" s="6" t="s">
        <v>7</v>
      </c>
      <c r="H379" s="6" t="s">
        <v>41</v>
      </c>
      <c r="I379" s="23">
        <v>8369.84</v>
      </c>
      <c r="J379" s="23">
        <v>13709.01</v>
      </c>
      <c r="K379" s="23">
        <v>651</v>
      </c>
      <c r="L379" s="23"/>
      <c r="M379" s="23">
        <v>2251.6</v>
      </c>
      <c r="N379" s="23">
        <v>401.29</v>
      </c>
      <c r="O379" s="23">
        <f>+Table24[[#This Row],[FoodcostBlueline]]+Table24[[#This Row],[Pepsico]]</f>
        <v>2652.89</v>
      </c>
      <c r="P379" s="24">
        <f t="shared" si="18"/>
        <v>0.31695826921422632</v>
      </c>
      <c r="Q379" s="24"/>
      <c r="R379" s="23">
        <v>1853.91</v>
      </c>
      <c r="S379" s="25">
        <f t="shared" si="19"/>
        <v>0.22149885780373341</v>
      </c>
      <c r="T379" s="36"/>
      <c r="U379" s="36">
        <f>Table24[[#This Row],[WagesPercent]]+Table24[[#This Row],[FoodCostPercent]]</f>
        <v>0.53845712701795967</v>
      </c>
      <c r="V379" s="36"/>
    </row>
    <row r="380" spans="1:22" x14ac:dyDescent="0.25">
      <c r="A380" s="20">
        <v>379</v>
      </c>
      <c r="B380" s="21" t="s">
        <v>101</v>
      </c>
      <c r="C380" s="21" t="s">
        <v>102</v>
      </c>
      <c r="D380" s="6" t="s">
        <v>56</v>
      </c>
      <c r="E380" s="6">
        <v>3804008</v>
      </c>
      <c r="F380" s="6" t="s">
        <v>12</v>
      </c>
      <c r="G380" s="6" t="s">
        <v>42</v>
      </c>
      <c r="H380" s="6" t="s">
        <v>41</v>
      </c>
      <c r="I380" s="23">
        <v>22882.91</v>
      </c>
      <c r="J380" s="23">
        <v>25514.37</v>
      </c>
      <c r="K380" s="23">
        <v>1406</v>
      </c>
      <c r="L380" s="23"/>
      <c r="M380" s="23">
        <v>5969.95</v>
      </c>
      <c r="N380" s="23">
        <v>344.8</v>
      </c>
      <c r="O380" s="23">
        <f>+Table24[[#This Row],[FoodcostBlueline]]+Table24[[#This Row],[Pepsico]]</f>
        <v>6314.75</v>
      </c>
      <c r="P380" s="24">
        <f t="shared" si="18"/>
        <v>0.275959220221554</v>
      </c>
      <c r="Q380" s="24"/>
      <c r="R380" s="23">
        <f>393.6+5025</f>
        <v>5418.6</v>
      </c>
      <c r="S380" s="25">
        <f t="shared" si="19"/>
        <v>0.23679680600063543</v>
      </c>
      <c r="T380" s="36"/>
      <c r="U380" s="36">
        <f>Table24[[#This Row],[WagesPercent]]+Table24[[#This Row],[FoodCostPercent]]</f>
        <v>0.51275602622218941</v>
      </c>
      <c r="V380" s="36"/>
    </row>
    <row r="381" spans="1:22" x14ac:dyDescent="0.25">
      <c r="A381" s="20">
        <v>380</v>
      </c>
      <c r="B381" s="21" t="s">
        <v>101</v>
      </c>
      <c r="C381" s="21" t="s">
        <v>102</v>
      </c>
      <c r="D381" s="6" t="s">
        <v>56</v>
      </c>
      <c r="E381" s="6">
        <v>3804009</v>
      </c>
      <c r="F381" s="6" t="s">
        <v>13</v>
      </c>
      <c r="G381" s="6" t="s">
        <v>42</v>
      </c>
      <c r="H381" s="6" t="s">
        <v>41</v>
      </c>
      <c r="I381" s="23">
        <v>16923.14</v>
      </c>
      <c r="J381" s="23">
        <v>16521.48</v>
      </c>
      <c r="K381" s="23">
        <v>1018</v>
      </c>
      <c r="L381" s="23"/>
      <c r="M381" s="23">
        <v>4215.0200000000004</v>
      </c>
      <c r="N381" s="23">
        <v>391.93</v>
      </c>
      <c r="O381" s="23">
        <f>+Table24[[#This Row],[FoodcostBlueline]]+Table24[[#This Row],[Pepsico]]</f>
        <v>4606.9500000000007</v>
      </c>
      <c r="P381" s="24">
        <f t="shared" si="18"/>
        <v>0.2722278489689266</v>
      </c>
      <c r="Q381" s="24"/>
      <c r="R381" s="23">
        <v>3903</v>
      </c>
      <c r="S381" s="25">
        <f t="shared" si="19"/>
        <v>0.23063095855733629</v>
      </c>
      <c r="T381" s="36"/>
      <c r="U381" s="36">
        <f>Table24[[#This Row],[WagesPercent]]+Table24[[#This Row],[FoodCostPercent]]</f>
        <v>0.50285880752626289</v>
      </c>
      <c r="V381" s="36"/>
    </row>
    <row r="382" spans="1:22" x14ac:dyDescent="0.25">
      <c r="A382" s="20">
        <v>381</v>
      </c>
      <c r="B382" s="21" t="s">
        <v>101</v>
      </c>
      <c r="C382" s="21" t="s">
        <v>102</v>
      </c>
      <c r="D382" s="6" t="s">
        <v>56</v>
      </c>
      <c r="E382" s="6">
        <v>3804010</v>
      </c>
      <c r="F382" s="6" t="s">
        <v>14</v>
      </c>
      <c r="G382" s="6" t="s">
        <v>42</v>
      </c>
      <c r="H382" s="6" t="s">
        <v>41</v>
      </c>
      <c r="I382" s="23">
        <v>8949.8700000000008</v>
      </c>
      <c r="J382" s="23">
        <v>9777.73</v>
      </c>
      <c r="K382" s="23">
        <v>475</v>
      </c>
      <c r="L382" s="23"/>
      <c r="M382" s="23">
        <f>-12.35+1878.07</f>
        <v>1865.72</v>
      </c>
      <c r="N382" s="23">
        <v>0</v>
      </c>
      <c r="O382" s="23">
        <f>+Table24[[#This Row],[FoodcostBlueline]]+Table24[[#This Row],[Pepsico]]</f>
        <v>1865.72</v>
      </c>
      <c r="P382" s="24">
        <f t="shared" si="18"/>
        <v>0.20846336315499553</v>
      </c>
      <c r="Q382" s="24"/>
      <c r="R382" s="23">
        <f>560+2148</f>
        <v>2708</v>
      </c>
      <c r="S382" s="25">
        <f t="shared" si="19"/>
        <v>0.30257422733514561</v>
      </c>
      <c r="T382" s="36"/>
      <c r="U382" s="36">
        <f>Table24[[#This Row],[WagesPercent]]+Table24[[#This Row],[FoodCostPercent]]</f>
        <v>0.51103759049014119</v>
      </c>
      <c r="V382" s="36"/>
    </row>
    <row r="383" spans="1:22" x14ac:dyDescent="0.25">
      <c r="A383" s="20">
        <v>382</v>
      </c>
      <c r="B383" s="21" t="s">
        <v>101</v>
      </c>
      <c r="C383" s="21" t="s">
        <v>102</v>
      </c>
      <c r="D383" s="6" t="s">
        <v>56</v>
      </c>
      <c r="E383" s="6">
        <v>3804011</v>
      </c>
      <c r="F383" s="6" t="s">
        <v>15</v>
      </c>
      <c r="G383" s="6" t="s">
        <v>79</v>
      </c>
      <c r="H383" s="6" t="s">
        <v>41</v>
      </c>
      <c r="I383" s="23">
        <v>28643.39</v>
      </c>
      <c r="J383" s="23">
        <v>27889.64</v>
      </c>
      <c r="K383" s="23">
        <v>1787</v>
      </c>
      <c r="L383" s="23"/>
      <c r="M383" s="23">
        <v>6855.45</v>
      </c>
      <c r="N383" s="23">
        <v>291.83999999999997</v>
      </c>
      <c r="O383" s="23">
        <f>+Table24[[#This Row],[FoodcostBlueline]]+Table24[[#This Row],[Pepsico]]</f>
        <v>7147.29</v>
      </c>
      <c r="P383" s="24">
        <f t="shared" si="18"/>
        <v>0.24952667962835404</v>
      </c>
      <c r="Q383" s="24"/>
      <c r="R383" s="23">
        <f>3368.13+957.69+203.53</f>
        <v>4529.3499999999995</v>
      </c>
      <c r="S383" s="25">
        <f t="shared" si="19"/>
        <v>0.15812897844843085</v>
      </c>
      <c r="T383" s="36"/>
      <c r="U383" s="36">
        <f>Table24[[#This Row],[WagesPercent]]+Table24[[#This Row],[FoodCostPercent]]</f>
        <v>0.40765565807678489</v>
      </c>
      <c r="V383" s="36"/>
    </row>
    <row r="384" spans="1:22" x14ac:dyDescent="0.25">
      <c r="A384" s="20">
        <v>383</v>
      </c>
      <c r="B384" s="21" t="s">
        <v>101</v>
      </c>
      <c r="C384" s="21" t="s">
        <v>102</v>
      </c>
      <c r="D384" s="6" t="s">
        <v>56</v>
      </c>
      <c r="E384" s="6">
        <v>3804013</v>
      </c>
      <c r="F384" s="6" t="s">
        <v>17</v>
      </c>
      <c r="G384" s="6" t="s">
        <v>79</v>
      </c>
      <c r="H384" s="6" t="s">
        <v>41</v>
      </c>
      <c r="I384" s="23">
        <v>8314.8799999999992</v>
      </c>
      <c r="J384" s="23">
        <v>10578.91</v>
      </c>
      <c r="K384" s="23">
        <v>558</v>
      </c>
      <c r="L384" s="23"/>
      <c r="M384" s="23">
        <v>2386.4</v>
      </c>
      <c r="N384" s="23">
        <v>182.7</v>
      </c>
      <c r="O384" s="23">
        <f>+Table24[[#This Row],[FoodcostBlueline]]+Table24[[#This Row],[Pepsico]]</f>
        <v>2569.1</v>
      </c>
      <c r="P384" s="24">
        <f t="shared" si="18"/>
        <v>0.30897619689039413</v>
      </c>
      <c r="Q384" s="24"/>
      <c r="R384" s="23">
        <v>2375.3000000000002</v>
      </c>
      <c r="S384" s="25">
        <f t="shared" si="19"/>
        <v>0.28566858451354687</v>
      </c>
      <c r="T384" s="36"/>
      <c r="U384" s="36">
        <f>Table24[[#This Row],[WagesPercent]]+Table24[[#This Row],[FoodCostPercent]]</f>
        <v>0.59464478140394106</v>
      </c>
      <c r="V384" s="36"/>
    </row>
    <row r="385" spans="1:22" x14ac:dyDescent="0.25">
      <c r="A385" s="20">
        <v>384</v>
      </c>
      <c r="B385" s="21" t="s">
        <v>101</v>
      </c>
      <c r="C385" s="21" t="s">
        <v>102</v>
      </c>
      <c r="D385" s="6" t="s">
        <v>56</v>
      </c>
      <c r="E385" s="6">
        <v>3804014</v>
      </c>
      <c r="F385" s="6" t="s">
        <v>18</v>
      </c>
      <c r="G385" s="6" t="s">
        <v>79</v>
      </c>
      <c r="H385" s="6" t="s">
        <v>41</v>
      </c>
      <c r="I385" s="23">
        <v>8883.52</v>
      </c>
      <c r="J385" s="23">
        <v>7787.36</v>
      </c>
      <c r="K385" s="23">
        <v>592</v>
      </c>
      <c r="L385" s="23"/>
      <c r="M385" s="23">
        <f>-5.11+2786.06-59.4+84.03</f>
        <v>2805.58</v>
      </c>
      <c r="N385" s="23">
        <v>295.57</v>
      </c>
      <c r="O385" s="23">
        <f>+Table24[[#This Row],[FoodcostBlueline]]+Table24[[#This Row],[Pepsico]]</f>
        <v>3101.15</v>
      </c>
      <c r="P385" s="24">
        <f t="shared" si="18"/>
        <v>0.34909022549619972</v>
      </c>
      <c r="Q385" s="24"/>
      <c r="R385" s="23">
        <v>2325.4299999999998</v>
      </c>
      <c r="S385" s="25">
        <f t="shared" si="19"/>
        <v>0.26176898346601346</v>
      </c>
      <c r="T385" s="36"/>
      <c r="U385" s="36">
        <f>Table24[[#This Row],[WagesPercent]]+Table24[[#This Row],[FoodCostPercent]]</f>
        <v>0.61085920896221313</v>
      </c>
      <c r="V385" s="36"/>
    </row>
    <row r="386" spans="1:22" x14ac:dyDescent="0.25">
      <c r="A386" s="20">
        <v>385</v>
      </c>
      <c r="B386" s="21" t="s">
        <v>101</v>
      </c>
      <c r="C386" s="21" t="s">
        <v>102</v>
      </c>
      <c r="D386" s="6" t="s">
        <v>56</v>
      </c>
      <c r="E386" s="6">
        <v>3804015</v>
      </c>
      <c r="F386" s="6" t="s">
        <v>19</v>
      </c>
      <c r="G386" s="6" t="s">
        <v>20</v>
      </c>
      <c r="H386" s="6" t="s">
        <v>41</v>
      </c>
      <c r="I386" s="23">
        <v>14755.5</v>
      </c>
      <c r="J386" s="23">
        <v>18102.009999999998</v>
      </c>
      <c r="K386" s="23">
        <v>963</v>
      </c>
      <c r="L386" s="23"/>
      <c r="M386" s="23">
        <f>4540.36-12.35</f>
        <v>4528.0099999999993</v>
      </c>
      <c r="N386" s="23">
        <v>295.2</v>
      </c>
      <c r="O386" s="23">
        <f>+Table24[[#This Row],[FoodcostBlueline]]+Table24[[#This Row],[Pepsico]]</f>
        <v>4823.2099999999991</v>
      </c>
      <c r="P386" s="24">
        <f t="shared" ref="P386:P449" si="20">IFERROR(((M386+N386)/I386),0)</f>
        <v>0.32687540239232821</v>
      </c>
      <c r="Q386" s="24"/>
      <c r="R386" s="23">
        <v>3614.32</v>
      </c>
      <c r="S386" s="25">
        <f t="shared" ref="S386:S449" si="21">+R386/I386</f>
        <v>0.24494730778353835</v>
      </c>
      <c r="T386" s="36"/>
      <c r="U386" s="36">
        <f>Table24[[#This Row],[WagesPercent]]+Table24[[#This Row],[FoodCostPercent]]</f>
        <v>0.57182271017586661</v>
      </c>
      <c r="V386" s="36"/>
    </row>
    <row r="387" spans="1:22" x14ac:dyDescent="0.25">
      <c r="A387" s="20">
        <v>386</v>
      </c>
      <c r="B387" s="21" t="s">
        <v>101</v>
      </c>
      <c r="C387" s="21" t="s">
        <v>102</v>
      </c>
      <c r="D387" s="6" t="s">
        <v>56</v>
      </c>
      <c r="E387" s="6">
        <v>3804016</v>
      </c>
      <c r="F387" s="6" t="s">
        <v>21</v>
      </c>
      <c r="G387" s="6" t="s">
        <v>22</v>
      </c>
      <c r="H387" s="6" t="s">
        <v>40</v>
      </c>
      <c r="I387" s="23">
        <v>13891.56</v>
      </c>
      <c r="J387" s="23">
        <v>16176.71</v>
      </c>
      <c r="K387" s="23">
        <v>828</v>
      </c>
      <c r="L387" s="23"/>
      <c r="M387" s="23">
        <f>3603.79-12.35</f>
        <v>3591.44</v>
      </c>
      <c r="N387" s="23">
        <v>259.39</v>
      </c>
      <c r="O387" s="23">
        <f>+Table24[[#This Row],[FoodcostBlueline]]+Table24[[#This Row],[Pepsico]]</f>
        <v>3850.83</v>
      </c>
      <c r="P387" s="24">
        <f t="shared" si="20"/>
        <v>0.27720644765598679</v>
      </c>
      <c r="Q387" s="24"/>
      <c r="R387" s="23">
        <v>2726.32</v>
      </c>
      <c r="S387" s="25">
        <f t="shared" si="21"/>
        <v>0.19625729579687237</v>
      </c>
      <c r="T387" s="36"/>
      <c r="U387" s="36">
        <f>Table24[[#This Row],[WagesPercent]]+Table24[[#This Row],[FoodCostPercent]]</f>
        <v>0.47346374345285913</v>
      </c>
      <c r="V387" s="36"/>
    </row>
    <row r="388" spans="1:22" x14ac:dyDescent="0.25">
      <c r="A388" s="20">
        <v>387</v>
      </c>
      <c r="B388" s="21" t="s">
        <v>101</v>
      </c>
      <c r="C388" s="21" t="s">
        <v>102</v>
      </c>
      <c r="D388" s="6" t="s">
        <v>56</v>
      </c>
      <c r="E388" s="6">
        <v>3804017</v>
      </c>
      <c r="F388" s="6" t="s">
        <v>23</v>
      </c>
      <c r="G388" s="6" t="s">
        <v>22</v>
      </c>
      <c r="H388" s="6" t="s">
        <v>40</v>
      </c>
      <c r="I388" s="23">
        <v>19515.84</v>
      </c>
      <c r="J388" s="23">
        <v>28716.560000000001</v>
      </c>
      <c r="K388" s="23">
        <v>1235</v>
      </c>
      <c r="L388" s="23"/>
      <c r="M388" s="23">
        <v>5179.22</v>
      </c>
      <c r="N388" s="23">
        <v>0</v>
      </c>
      <c r="O388" s="23">
        <f>+Table24[[#This Row],[FoodcostBlueline]]+Table24[[#This Row],[Pepsico]]</f>
        <v>5179.22</v>
      </c>
      <c r="P388" s="24">
        <f t="shared" si="20"/>
        <v>0.26538545099775362</v>
      </c>
      <c r="Q388" s="24"/>
      <c r="R388" s="23">
        <v>3835.05</v>
      </c>
      <c r="S388" s="25">
        <f t="shared" si="21"/>
        <v>0.19650960450587832</v>
      </c>
      <c r="T388" s="36"/>
      <c r="U388" s="36">
        <f>Table24[[#This Row],[WagesPercent]]+Table24[[#This Row],[FoodCostPercent]]</f>
        <v>0.46189505550363197</v>
      </c>
      <c r="V388" s="36"/>
    </row>
    <row r="389" spans="1:22" x14ac:dyDescent="0.25">
      <c r="A389" s="20">
        <v>388</v>
      </c>
      <c r="B389" s="21" t="s">
        <v>101</v>
      </c>
      <c r="C389" s="21" t="s">
        <v>102</v>
      </c>
      <c r="D389" s="6" t="s">
        <v>56</v>
      </c>
      <c r="E389" s="6">
        <v>3804018</v>
      </c>
      <c r="F389" s="6" t="s">
        <v>24</v>
      </c>
      <c r="G389" s="6" t="s">
        <v>20</v>
      </c>
      <c r="H389" s="6" t="s">
        <v>41</v>
      </c>
      <c r="I389" s="23">
        <v>20256.72</v>
      </c>
      <c r="J389" s="23">
        <v>21931.31</v>
      </c>
      <c r="K389" s="23">
        <v>1201</v>
      </c>
      <c r="L389" s="23"/>
      <c r="M389" s="23">
        <v>5824.81</v>
      </c>
      <c r="N389" s="23">
        <v>416.02</v>
      </c>
      <c r="O389" s="23">
        <f>+Table24[[#This Row],[FoodcostBlueline]]+Table24[[#This Row],[Pepsico]]</f>
        <v>6240.83</v>
      </c>
      <c r="P389" s="24">
        <f t="shared" si="20"/>
        <v>0.3080868965953027</v>
      </c>
      <c r="Q389" s="24"/>
      <c r="R389" s="23">
        <v>4319.8500000000004</v>
      </c>
      <c r="S389" s="25">
        <f t="shared" si="21"/>
        <v>0.21325515680722248</v>
      </c>
      <c r="T389" s="36"/>
      <c r="U389" s="36">
        <f>Table24[[#This Row],[WagesPercent]]+Table24[[#This Row],[FoodCostPercent]]</f>
        <v>0.52134205340252515</v>
      </c>
      <c r="V389" s="36"/>
    </row>
    <row r="390" spans="1:22" x14ac:dyDescent="0.25">
      <c r="A390" s="20">
        <v>389</v>
      </c>
      <c r="B390" s="21" t="s">
        <v>101</v>
      </c>
      <c r="C390" s="21" t="s">
        <v>102</v>
      </c>
      <c r="D390" s="6" t="s">
        <v>56</v>
      </c>
      <c r="E390" s="6">
        <v>3804019</v>
      </c>
      <c r="F390" s="6" t="s">
        <v>25</v>
      </c>
      <c r="G390" s="6" t="s">
        <v>20</v>
      </c>
      <c r="H390" s="6" t="s">
        <v>41</v>
      </c>
      <c r="I390" s="23">
        <v>13799.83</v>
      </c>
      <c r="J390" s="23">
        <v>13872.41</v>
      </c>
      <c r="K390" s="23">
        <v>839</v>
      </c>
      <c r="L390" s="23"/>
      <c r="M390" s="23">
        <f>3740.51-12.35</f>
        <v>3728.1600000000003</v>
      </c>
      <c r="N390" s="23">
        <v>462.96</v>
      </c>
      <c r="O390" s="23">
        <f>+Table24[[#This Row],[FoodcostBlueline]]+Table24[[#This Row],[Pepsico]]</f>
        <v>4191.12</v>
      </c>
      <c r="P390" s="24">
        <f t="shared" si="20"/>
        <v>0.30370808915762004</v>
      </c>
      <c r="Q390" s="24"/>
      <c r="R390" s="23">
        <v>3013.17</v>
      </c>
      <c r="S390" s="25">
        <f t="shared" si="21"/>
        <v>0.21834834197232866</v>
      </c>
      <c r="T390" s="36"/>
      <c r="U390" s="36">
        <f>Table24[[#This Row],[WagesPercent]]+Table24[[#This Row],[FoodCostPercent]]</f>
        <v>0.52205643112994871</v>
      </c>
      <c r="V390" s="36"/>
    </row>
    <row r="391" spans="1:22" x14ac:dyDescent="0.25">
      <c r="A391" s="20">
        <v>390</v>
      </c>
      <c r="B391" s="21" t="s">
        <v>101</v>
      </c>
      <c r="C391" s="21" t="s">
        <v>102</v>
      </c>
      <c r="D391" s="6" t="s">
        <v>56</v>
      </c>
      <c r="E391" s="6">
        <v>3804020</v>
      </c>
      <c r="F391" s="6" t="s">
        <v>26</v>
      </c>
      <c r="G391" s="6" t="s">
        <v>22</v>
      </c>
      <c r="H391" s="6" t="s">
        <v>40</v>
      </c>
      <c r="I391" s="23">
        <v>13431.97</v>
      </c>
      <c r="J391" s="23">
        <v>14206.44</v>
      </c>
      <c r="K391" s="23">
        <v>790</v>
      </c>
      <c r="L391" s="23"/>
      <c r="M391" s="23">
        <v>3035.81</v>
      </c>
      <c r="N391" s="23">
        <v>0</v>
      </c>
      <c r="O391" s="23">
        <f>+Table24[[#This Row],[FoodcostBlueline]]+Table24[[#This Row],[Pepsico]]</f>
        <v>3035.81</v>
      </c>
      <c r="P391" s="24">
        <f t="shared" si="20"/>
        <v>0.22601375673114221</v>
      </c>
      <c r="Q391" s="24"/>
      <c r="R391" s="23">
        <v>2577.36</v>
      </c>
      <c r="S391" s="25">
        <f t="shared" si="21"/>
        <v>0.19188250122655129</v>
      </c>
      <c r="T391" s="36"/>
      <c r="U391" s="36">
        <f>Table24[[#This Row],[WagesPercent]]+Table24[[#This Row],[FoodCostPercent]]</f>
        <v>0.41789625795769347</v>
      </c>
      <c r="V391" s="36"/>
    </row>
    <row r="392" spans="1:22" x14ac:dyDescent="0.25">
      <c r="A392" s="20">
        <v>391</v>
      </c>
      <c r="B392" s="21" t="s">
        <v>101</v>
      </c>
      <c r="C392" s="21" t="s">
        <v>102</v>
      </c>
      <c r="D392" s="6" t="s">
        <v>56</v>
      </c>
      <c r="E392" s="6">
        <v>3804021</v>
      </c>
      <c r="F392" s="6" t="s">
        <v>27</v>
      </c>
      <c r="G392" s="6" t="s">
        <v>22</v>
      </c>
      <c r="H392" s="6" t="s">
        <v>40</v>
      </c>
      <c r="I392" s="23">
        <v>23613.72</v>
      </c>
      <c r="J392" s="23">
        <v>26013.91</v>
      </c>
      <c r="K392" s="23">
        <v>1430</v>
      </c>
      <c r="L392" s="23"/>
      <c r="M392" s="23">
        <f>6552.21+155.8-6.44</f>
        <v>6701.5700000000006</v>
      </c>
      <c r="N392" s="23">
        <v>610.47</v>
      </c>
      <c r="O392" s="23">
        <f>+Table24[[#This Row],[FoodcostBlueline]]+Table24[[#This Row],[Pepsico]]</f>
        <v>7312.0400000000009</v>
      </c>
      <c r="P392" s="24">
        <f t="shared" si="20"/>
        <v>0.30965218525501281</v>
      </c>
      <c r="Q392" s="24"/>
      <c r="R392" s="23">
        <f>5147.68+57.43</f>
        <v>5205.1100000000006</v>
      </c>
      <c r="S392" s="25">
        <f t="shared" si="21"/>
        <v>0.22042736172022029</v>
      </c>
      <c r="T392" s="36"/>
      <c r="U392" s="36">
        <f>Table24[[#This Row],[WagesPercent]]+Table24[[#This Row],[FoodCostPercent]]</f>
        <v>0.53007954697523307</v>
      </c>
      <c r="V392" s="36"/>
    </row>
    <row r="393" spans="1:22" x14ac:dyDescent="0.25">
      <c r="A393" s="20">
        <v>392</v>
      </c>
      <c r="B393" s="21" t="s">
        <v>101</v>
      </c>
      <c r="C393" s="21" t="s">
        <v>102</v>
      </c>
      <c r="D393" s="6" t="s">
        <v>56</v>
      </c>
      <c r="E393" s="6">
        <v>3804022</v>
      </c>
      <c r="F393" s="6" t="s">
        <v>28</v>
      </c>
      <c r="G393" s="6" t="s">
        <v>22</v>
      </c>
      <c r="H393" s="6" t="s">
        <v>40</v>
      </c>
      <c r="I393" s="23">
        <v>13258.06</v>
      </c>
      <c r="J393" s="23">
        <v>16332.82</v>
      </c>
      <c r="K393" s="23">
        <v>810</v>
      </c>
      <c r="L393" s="23"/>
      <c r="M393" s="23">
        <f>-12.35+1031.24</f>
        <v>1018.89</v>
      </c>
      <c r="N393" s="23">
        <v>0</v>
      </c>
      <c r="O393" s="23">
        <f>+Table24[[#This Row],[FoodcostBlueline]]+Table24[[#This Row],[Pepsico]]</f>
        <v>1018.89</v>
      </c>
      <c r="P393" s="24">
        <f t="shared" si="20"/>
        <v>7.6850610119429244E-2</v>
      </c>
      <c r="Q393" s="24"/>
      <c r="R393" s="23">
        <f>3189.12+47.5</f>
        <v>3236.62</v>
      </c>
      <c r="S393" s="25">
        <f t="shared" si="21"/>
        <v>0.24412470602788039</v>
      </c>
      <c r="T393" s="36"/>
      <c r="U393" s="36">
        <f>Table24[[#This Row],[WagesPercent]]+Table24[[#This Row],[FoodCostPercent]]</f>
        <v>0.32097531614730962</v>
      </c>
      <c r="V393" s="36"/>
    </row>
    <row r="394" spans="1:22" x14ac:dyDescent="0.25">
      <c r="A394" s="20">
        <v>393</v>
      </c>
      <c r="B394" s="21" t="s">
        <v>101</v>
      </c>
      <c r="C394" s="21" t="s">
        <v>102</v>
      </c>
      <c r="D394" s="6" t="s">
        <v>56</v>
      </c>
      <c r="E394" s="6">
        <v>3804023</v>
      </c>
      <c r="F394" s="6" t="s">
        <v>29</v>
      </c>
      <c r="G394" s="6" t="s">
        <v>22</v>
      </c>
      <c r="H394" s="6" t="s">
        <v>40</v>
      </c>
      <c r="I394" s="23">
        <v>15133.25</v>
      </c>
      <c r="J394" s="23">
        <v>20558.8</v>
      </c>
      <c r="K394" s="23">
        <v>912</v>
      </c>
      <c r="L394" s="23"/>
      <c r="M394" s="23">
        <v>4319.72</v>
      </c>
      <c r="N394" s="23">
        <v>513.1</v>
      </c>
      <c r="O394" s="23">
        <f>+Table24[[#This Row],[FoodcostBlueline]]+Table24[[#This Row],[Pepsico]]</f>
        <v>4832.8200000000006</v>
      </c>
      <c r="P394" s="24">
        <f t="shared" si="20"/>
        <v>0.31935109774833564</v>
      </c>
      <c r="Q394" s="24"/>
      <c r="R394" s="23">
        <v>3406.87</v>
      </c>
      <c r="S394" s="25">
        <f t="shared" si="21"/>
        <v>0.22512480795599094</v>
      </c>
      <c r="T394" s="36"/>
      <c r="U394" s="36">
        <f>Table24[[#This Row],[WagesPercent]]+Table24[[#This Row],[FoodCostPercent]]</f>
        <v>0.54447590570432658</v>
      </c>
      <c r="V394" s="36"/>
    </row>
    <row r="395" spans="1:22" x14ac:dyDescent="0.25">
      <c r="A395" s="20">
        <v>394</v>
      </c>
      <c r="B395" s="21" t="s">
        <v>101</v>
      </c>
      <c r="C395" s="21" t="s">
        <v>102</v>
      </c>
      <c r="D395" s="6" t="s">
        <v>56</v>
      </c>
      <c r="E395" s="6">
        <v>3804024</v>
      </c>
      <c r="F395" s="6" t="s">
        <v>30</v>
      </c>
      <c r="G395" s="6" t="s">
        <v>20</v>
      </c>
      <c r="H395" s="6" t="s">
        <v>41</v>
      </c>
      <c r="I395" s="23">
        <v>11762.31</v>
      </c>
      <c r="J395" s="23">
        <v>16736.7</v>
      </c>
      <c r="K395" s="23">
        <v>720</v>
      </c>
      <c r="L395" s="23"/>
      <c r="M395" s="23">
        <v>2908.68</v>
      </c>
      <c r="N395" s="23">
        <v>281.10000000000002</v>
      </c>
      <c r="O395" s="23">
        <f>+Table24[[#This Row],[FoodcostBlueline]]+Table24[[#This Row],[Pepsico]]</f>
        <v>3189.7799999999997</v>
      </c>
      <c r="P395" s="24">
        <f t="shared" si="20"/>
        <v>0.2711865271362513</v>
      </c>
      <c r="Q395" s="24"/>
      <c r="R395" s="23">
        <f>3624.68+69.23</f>
        <v>3693.91</v>
      </c>
      <c r="S395" s="25">
        <f t="shared" si="21"/>
        <v>0.31404630553012119</v>
      </c>
      <c r="T395" s="36"/>
      <c r="U395" s="36">
        <f>Table24[[#This Row],[WagesPercent]]+Table24[[#This Row],[FoodCostPercent]]</f>
        <v>0.58523283266637249</v>
      </c>
      <c r="V395" s="36"/>
    </row>
    <row r="396" spans="1:22" x14ac:dyDescent="0.25">
      <c r="A396" s="20">
        <v>395</v>
      </c>
      <c r="B396" s="21" t="s">
        <v>101</v>
      </c>
      <c r="C396" s="21" t="s">
        <v>102</v>
      </c>
      <c r="D396" s="6" t="s">
        <v>56</v>
      </c>
      <c r="E396" s="6">
        <v>3804025</v>
      </c>
      <c r="F396" s="6" t="s">
        <v>31</v>
      </c>
      <c r="G396" s="6" t="s">
        <v>20</v>
      </c>
      <c r="H396" s="6" t="s">
        <v>41</v>
      </c>
      <c r="I396" s="23">
        <v>25889.69</v>
      </c>
      <c r="J396" s="23">
        <v>29172.799999999999</v>
      </c>
      <c r="K396" s="23">
        <v>1616</v>
      </c>
      <c r="L396" s="23"/>
      <c r="M396" s="23">
        <f>7953.88+153.43</f>
        <v>8107.31</v>
      </c>
      <c r="N396" s="23">
        <v>1094.58</v>
      </c>
      <c r="O396" s="23">
        <f>+Table24[[#This Row],[FoodcostBlueline]]+Table24[[#This Row],[Pepsico]]</f>
        <v>9201.89</v>
      </c>
      <c r="P396" s="24">
        <f t="shared" si="20"/>
        <v>0.35542681275828331</v>
      </c>
      <c r="Q396" s="24"/>
      <c r="R396" s="23">
        <v>5612.35</v>
      </c>
      <c r="S396" s="25">
        <f t="shared" si="21"/>
        <v>0.2167793434374842</v>
      </c>
      <c r="T396" s="36"/>
      <c r="U396" s="36">
        <f>Table24[[#This Row],[WagesPercent]]+Table24[[#This Row],[FoodCostPercent]]</f>
        <v>0.57220615619576753</v>
      </c>
      <c r="V396" s="36"/>
    </row>
    <row r="397" spans="1:22" x14ac:dyDescent="0.25">
      <c r="A397" s="20">
        <v>396</v>
      </c>
      <c r="B397" s="21" t="s">
        <v>101</v>
      </c>
      <c r="C397" s="21" t="s">
        <v>102</v>
      </c>
      <c r="D397" s="6" t="s">
        <v>56</v>
      </c>
      <c r="E397" s="6">
        <v>3804026</v>
      </c>
      <c r="F397" s="6" t="s">
        <v>32</v>
      </c>
      <c r="G397" s="6" t="s">
        <v>79</v>
      </c>
      <c r="H397" s="6" t="s">
        <v>41</v>
      </c>
      <c r="I397" s="23">
        <v>12745</v>
      </c>
      <c r="J397" s="23">
        <v>15715.36</v>
      </c>
      <c r="K397" s="23">
        <v>746</v>
      </c>
      <c r="L397" s="23"/>
      <c r="M397" s="23">
        <v>3650.23</v>
      </c>
      <c r="N397" s="23">
        <v>297.02</v>
      </c>
      <c r="O397" s="23">
        <f>+Table24[[#This Row],[FoodcostBlueline]]+Table24[[#This Row],[Pepsico]]</f>
        <v>3947.25</v>
      </c>
      <c r="P397" s="24">
        <f t="shared" si="20"/>
        <v>0.30970969007453902</v>
      </c>
      <c r="Q397" s="24"/>
      <c r="R397" s="23">
        <v>3579.98</v>
      </c>
      <c r="S397" s="25">
        <f t="shared" si="21"/>
        <v>0.28089289917614751</v>
      </c>
      <c r="T397" s="36"/>
      <c r="U397" s="36">
        <f>Table24[[#This Row],[WagesPercent]]+Table24[[#This Row],[FoodCostPercent]]</f>
        <v>0.59060258925068654</v>
      </c>
      <c r="V397" s="36"/>
    </row>
    <row r="398" spans="1:22" x14ac:dyDescent="0.25">
      <c r="A398" s="20">
        <v>397</v>
      </c>
      <c r="B398" s="21" t="s">
        <v>101</v>
      </c>
      <c r="C398" s="21" t="s">
        <v>102</v>
      </c>
      <c r="D398" s="6" t="s">
        <v>56</v>
      </c>
      <c r="E398" s="6">
        <v>3804027</v>
      </c>
      <c r="F398" s="6" t="s">
        <v>33</v>
      </c>
      <c r="G398" s="6" t="s">
        <v>43</v>
      </c>
      <c r="H398" s="6" t="s">
        <v>41</v>
      </c>
      <c r="I398" s="23">
        <v>18303.5</v>
      </c>
      <c r="J398" s="23">
        <v>15612.38</v>
      </c>
      <c r="K398" s="23">
        <v>1272</v>
      </c>
      <c r="L398" s="23"/>
      <c r="M398" s="23">
        <f>5264.7+125.4</f>
        <v>5390.0999999999995</v>
      </c>
      <c r="N398" s="23">
        <v>677.48</v>
      </c>
      <c r="O398" s="23">
        <f>+Table24[[#This Row],[FoodcostBlueline]]+Table24[[#This Row],[Pepsico]]</f>
        <v>6067.58</v>
      </c>
      <c r="P398" s="24">
        <f t="shared" si="20"/>
        <v>0.33149834731062366</v>
      </c>
      <c r="Q398" s="24"/>
      <c r="R398" s="23">
        <f>1730.6+277+1600</f>
        <v>3607.6</v>
      </c>
      <c r="S398" s="25">
        <f t="shared" si="21"/>
        <v>0.19709891550796296</v>
      </c>
      <c r="T398" s="36"/>
      <c r="U398" s="36">
        <f>Table24[[#This Row],[WagesPercent]]+Table24[[#This Row],[FoodCostPercent]]</f>
        <v>0.52859726281858666</v>
      </c>
      <c r="V398" s="36"/>
    </row>
    <row r="399" spans="1:22" x14ac:dyDescent="0.25">
      <c r="A399" s="20">
        <v>398</v>
      </c>
      <c r="B399" s="21" t="s">
        <v>101</v>
      </c>
      <c r="C399" s="21" t="s">
        <v>102</v>
      </c>
      <c r="D399" s="6" t="s">
        <v>56</v>
      </c>
      <c r="E399" s="6">
        <v>3804029</v>
      </c>
      <c r="F399" s="6" t="s">
        <v>34</v>
      </c>
      <c r="G399" s="6" t="s">
        <v>79</v>
      </c>
      <c r="H399" s="6" t="s">
        <v>41</v>
      </c>
      <c r="I399" s="23">
        <v>9611.1299999999992</v>
      </c>
      <c r="J399" s="23">
        <v>11814.68</v>
      </c>
      <c r="K399" s="23">
        <v>681</v>
      </c>
      <c r="L399" s="23"/>
      <c r="M399" s="23">
        <f>2747.97+16</f>
        <v>2763.97</v>
      </c>
      <c r="N399" s="23">
        <v>0</v>
      </c>
      <c r="O399" s="23">
        <f>+Table24[[#This Row],[FoodcostBlueline]]+Table24[[#This Row],[Pepsico]]</f>
        <v>2763.97</v>
      </c>
      <c r="P399" s="24">
        <f t="shared" si="20"/>
        <v>0.28758012845523889</v>
      </c>
      <c r="Q399" s="24"/>
      <c r="R399" s="23">
        <f>105.41+2370+354</f>
        <v>2829.41</v>
      </c>
      <c r="S399" s="25">
        <f t="shared" si="21"/>
        <v>0.29438890120100342</v>
      </c>
      <c r="T399" s="36"/>
      <c r="U399" s="36">
        <f>Table24[[#This Row],[WagesPercent]]+Table24[[#This Row],[FoodCostPercent]]</f>
        <v>0.58196902965624231</v>
      </c>
      <c r="V399" s="36"/>
    </row>
    <row r="400" spans="1:22" x14ac:dyDescent="0.25">
      <c r="A400" s="20">
        <v>399</v>
      </c>
      <c r="B400" s="21" t="s">
        <v>101</v>
      </c>
      <c r="C400" s="21" t="s">
        <v>102</v>
      </c>
      <c r="D400" s="6" t="s">
        <v>56</v>
      </c>
      <c r="E400" s="6">
        <v>3804030</v>
      </c>
      <c r="F400" s="6" t="s">
        <v>35</v>
      </c>
      <c r="G400" s="6" t="s">
        <v>5</v>
      </c>
      <c r="H400" s="6" t="s">
        <v>40</v>
      </c>
      <c r="I400" s="23">
        <v>9854.99</v>
      </c>
      <c r="J400" s="23">
        <v>12221.12</v>
      </c>
      <c r="K400" s="23">
        <v>599</v>
      </c>
      <c r="L400" s="23"/>
      <c r="M400" s="23">
        <f>89.1+2596.84</f>
        <v>2685.94</v>
      </c>
      <c r="N400" s="23">
        <v>195.99</v>
      </c>
      <c r="O400" s="23">
        <f>+Table24[[#This Row],[FoodcostBlueline]]+Table24[[#This Row],[Pepsico]]</f>
        <v>2881.9300000000003</v>
      </c>
      <c r="P400" s="24">
        <f t="shared" si="20"/>
        <v>0.29243357933392122</v>
      </c>
      <c r="Q400" s="24"/>
      <c r="R400" s="23">
        <v>2591.7199999999998</v>
      </c>
      <c r="S400" s="25">
        <f t="shared" si="21"/>
        <v>0.26298555351146979</v>
      </c>
      <c r="T400" s="36"/>
      <c r="U400" s="36">
        <f>Table24[[#This Row],[WagesPercent]]+Table24[[#This Row],[FoodCostPercent]]</f>
        <v>0.55541913284539102</v>
      </c>
      <c r="V400" s="36"/>
    </row>
    <row r="401" spans="1:22" x14ac:dyDescent="0.25">
      <c r="A401" s="20">
        <v>400</v>
      </c>
      <c r="B401" s="21" t="s">
        <v>101</v>
      </c>
      <c r="C401" s="21" t="s">
        <v>102</v>
      </c>
      <c r="D401" s="6" t="s">
        <v>56</v>
      </c>
      <c r="E401" s="6">
        <v>3804031</v>
      </c>
      <c r="F401" s="6" t="s">
        <v>36</v>
      </c>
      <c r="G401" s="6" t="s">
        <v>5</v>
      </c>
      <c r="H401" s="6" t="s">
        <v>40</v>
      </c>
      <c r="I401" s="23">
        <v>10585.68</v>
      </c>
      <c r="J401" s="23">
        <v>8923.5</v>
      </c>
      <c r="K401" s="23">
        <v>685</v>
      </c>
      <c r="L401" s="23"/>
      <c r="M401" s="23">
        <v>3016.46</v>
      </c>
      <c r="N401" s="23">
        <v>159.44</v>
      </c>
      <c r="O401" s="23">
        <f>+Table24[[#This Row],[FoodcostBlueline]]+Table24[[#This Row],[Pepsico]]</f>
        <v>3175.9</v>
      </c>
      <c r="P401" s="24">
        <f t="shared" si="20"/>
        <v>0.30001851557953763</v>
      </c>
      <c r="Q401" s="24"/>
      <c r="R401" s="37">
        <f>2345.5+780</f>
        <v>3125.5</v>
      </c>
      <c r="S401" s="25">
        <f t="shared" si="21"/>
        <v>0.29525736655557316</v>
      </c>
      <c r="T401" s="36"/>
      <c r="U401" s="36">
        <f>Table24[[#This Row],[WagesPercent]]+Table24[[#This Row],[FoodCostPercent]]</f>
        <v>0.59527588213511073</v>
      </c>
      <c r="V401" s="36"/>
    </row>
    <row r="402" spans="1:22" x14ac:dyDescent="0.25">
      <c r="A402" s="20">
        <v>401</v>
      </c>
      <c r="B402" s="21" t="s">
        <v>101</v>
      </c>
      <c r="C402" s="21" t="s">
        <v>102</v>
      </c>
      <c r="D402" s="6" t="s">
        <v>56</v>
      </c>
      <c r="E402" s="6">
        <v>3804032</v>
      </c>
      <c r="F402" s="6" t="s">
        <v>37</v>
      </c>
      <c r="G402" s="6" t="s">
        <v>5</v>
      </c>
      <c r="H402" s="6" t="s">
        <v>40</v>
      </c>
      <c r="I402" s="23">
        <v>10178.790000000001</v>
      </c>
      <c r="J402" s="23">
        <v>5194.05</v>
      </c>
      <c r="K402" s="23">
        <v>633</v>
      </c>
      <c r="L402" s="23"/>
      <c r="M402" s="23">
        <v>2326.04</v>
      </c>
      <c r="N402" s="23">
        <v>275.43</v>
      </c>
      <c r="O402" s="23">
        <f>+Table24[[#This Row],[FoodcostBlueline]]+Table24[[#This Row],[Pepsico]]</f>
        <v>2601.4699999999998</v>
      </c>
      <c r="P402" s="24">
        <f t="shared" si="20"/>
        <v>0.255577529352703</v>
      </c>
      <c r="Q402" s="24"/>
      <c r="R402" s="23">
        <f>1350+850+200</f>
        <v>2400</v>
      </c>
      <c r="S402" s="25">
        <f t="shared" si="21"/>
        <v>0.23578441052423715</v>
      </c>
      <c r="T402" s="36"/>
      <c r="U402" s="36">
        <f>Table24[[#This Row],[WagesPercent]]+Table24[[#This Row],[FoodCostPercent]]</f>
        <v>0.49136193987694016</v>
      </c>
      <c r="V402" s="36"/>
    </row>
    <row r="403" spans="1:22" x14ac:dyDescent="0.25">
      <c r="A403" s="20">
        <v>402</v>
      </c>
      <c r="B403" s="21" t="s">
        <v>101</v>
      </c>
      <c r="C403" s="21" t="s">
        <v>102</v>
      </c>
      <c r="D403" s="6" t="s">
        <v>56</v>
      </c>
      <c r="E403" s="6">
        <v>3804033</v>
      </c>
      <c r="F403" s="6" t="s">
        <v>38</v>
      </c>
      <c r="G403" s="6" t="s">
        <v>5</v>
      </c>
      <c r="H403" s="6" t="s">
        <v>40</v>
      </c>
      <c r="I403" s="23">
        <v>7892.76</v>
      </c>
      <c r="J403" s="23">
        <v>11347.01</v>
      </c>
      <c r="K403" s="23">
        <v>591</v>
      </c>
      <c r="L403" s="23"/>
      <c r="M403" s="23">
        <v>2125.1799999999998</v>
      </c>
      <c r="N403" s="23">
        <v>232.54</v>
      </c>
      <c r="O403" s="23">
        <f>+Table24[[#This Row],[FoodcostBlueline]]+Table24[[#This Row],[Pepsico]]</f>
        <v>2357.7199999999998</v>
      </c>
      <c r="P403" s="24">
        <f t="shared" si="20"/>
        <v>0.2987193326542299</v>
      </c>
      <c r="Q403" s="24"/>
      <c r="R403" s="23">
        <f>1350+850+165.58</f>
        <v>2365.58</v>
      </c>
      <c r="S403" s="25">
        <f t="shared" si="21"/>
        <v>0.29971518201490988</v>
      </c>
      <c r="T403" s="36"/>
      <c r="U403" s="36">
        <f>Table24[[#This Row],[WagesPercent]]+Table24[[#This Row],[FoodCostPercent]]</f>
        <v>0.59843451466913977</v>
      </c>
      <c r="V403" s="36"/>
    </row>
    <row r="404" spans="1:22" x14ac:dyDescent="0.25">
      <c r="A404" s="20">
        <v>403</v>
      </c>
      <c r="B404" s="21" t="s">
        <v>101</v>
      </c>
      <c r="C404" s="21" t="s">
        <v>102</v>
      </c>
      <c r="D404" s="6" t="s">
        <v>56</v>
      </c>
      <c r="E404" s="6">
        <v>3804034</v>
      </c>
      <c r="F404" s="6" t="s">
        <v>53</v>
      </c>
      <c r="G404" s="6" t="s">
        <v>79</v>
      </c>
      <c r="H404" s="6" t="s">
        <v>41</v>
      </c>
      <c r="I404" s="23">
        <v>8214.59</v>
      </c>
      <c r="J404" s="23">
        <v>11603.23</v>
      </c>
      <c r="K404" s="23">
        <v>481</v>
      </c>
      <c r="L404" s="23"/>
      <c r="M404" s="23">
        <v>2447.62</v>
      </c>
      <c r="N404" s="23">
        <v>0</v>
      </c>
      <c r="O404" s="23">
        <f>+Table24[[#This Row],[FoodcostBlueline]]+Table24[[#This Row],[Pepsico]]</f>
        <v>2447.62</v>
      </c>
      <c r="P404" s="24">
        <f t="shared" si="20"/>
        <v>0.29796009295655657</v>
      </c>
      <c r="Q404" s="24"/>
      <c r="R404" s="23">
        <v>2400</v>
      </c>
      <c r="S404" s="25">
        <f t="shared" si="21"/>
        <v>0.29216309030639387</v>
      </c>
      <c r="T404" s="36"/>
      <c r="U404" s="36">
        <f>Table24[[#This Row],[WagesPercent]]+Table24[[#This Row],[FoodCostPercent]]</f>
        <v>0.59012318326295043</v>
      </c>
      <c r="V404" s="36"/>
    </row>
    <row r="405" spans="1:22" x14ac:dyDescent="0.25">
      <c r="A405" s="20">
        <v>404</v>
      </c>
      <c r="B405" s="21" t="s">
        <v>103</v>
      </c>
      <c r="C405" s="21" t="s">
        <v>102</v>
      </c>
      <c r="D405" s="6" t="s">
        <v>57</v>
      </c>
      <c r="E405" s="6">
        <v>3804001</v>
      </c>
      <c r="F405" s="6" t="s">
        <v>4</v>
      </c>
      <c r="G405" s="6" t="s">
        <v>5</v>
      </c>
      <c r="H405" s="6" t="s">
        <v>40</v>
      </c>
      <c r="I405" s="23">
        <v>27038.62</v>
      </c>
      <c r="J405" s="23" t="e">
        <f>+VLOOKUP(Table24[[#This Row],[StoreNumber]],#REF!,5,FALSE)</f>
        <v>#REF!</v>
      </c>
      <c r="K405" s="23">
        <v>1786</v>
      </c>
      <c r="L405" s="23"/>
      <c r="M405" s="23">
        <f>7393.71-66</f>
        <v>7327.71</v>
      </c>
      <c r="N405" s="23">
        <v>818.37</v>
      </c>
      <c r="O405" s="23">
        <f>+Table24[[#This Row],[FoodcostBlueline]]+Table24[[#This Row],[Pepsico]]</f>
        <v>8146.08</v>
      </c>
      <c r="P405" s="24">
        <f t="shared" si="20"/>
        <v>0.30127573078803577</v>
      </c>
      <c r="Q405" s="24"/>
      <c r="R405" s="23">
        <f>5164.23+165.58</f>
        <v>5329.8099999999995</v>
      </c>
      <c r="S405" s="25">
        <f t="shared" si="21"/>
        <v>0.19711841802577201</v>
      </c>
      <c r="T405" s="36"/>
      <c r="U405" s="36">
        <f>Table24[[#This Row],[WagesPercent]]+Table24[[#This Row],[FoodCostPercent]]</f>
        <v>0.49839414881380778</v>
      </c>
      <c r="V405" s="36"/>
    </row>
    <row r="406" spans="1:22" x14ac:dyDescent="0.25">
      <c r="A406" s="20">
        <v>405</v>
      </c>
      <c r="B406" s="21" t="s">
        <v>103</v>
      </c>
      <c r="C406" s="21" t="s">
        <v>102</v>
      </c>
      <c r="D406" s="6" t="s">
        <v>57</v>
      </c>
      <c r="E406" s="6">
        <v>3804002</v>
      </c>
      <c r="F406" s="6" t="s">
        <v>6</v>
      </c>
      <c r="G406" s="6" t="s">
        <v>7</v>
      </c>
      <c r="H406" s="6" t="s">
        <v>41</v>
      </c>
      <c r="I406" s="23">
        <v>13641.27</v>
      </c>
      <c r="J406" s="23" t="e">
        <f>+VLOOKUP(Table24[[#This Row],[StoreNumber]],#REF!,5,FALSE)</f>
        <v>#REF!</v>
      </c>
      <c r="K406" s="23">
        <v>1118</v>
      </c>
      <c r="L406" s="23"/>
      <c r="M406" s="23">
        <f>3179.78-39+149.76+442.04+102.97</f>
        <v>3835.5499999999997</v>
      </c>
      <c r="N406" s="23">
        <v>393.53</v>
      </c>
      <c r="O406" s="23">
        <f>+Table24[[#This Row],[FoodcostBlueline]]+Table24[[#This Row],[Pepsico]]</f>
        <v>4229.08</v>
      </c>
      <c r="P406" s="24">
        <f t="shared" si="20"/>
        <v>0.31002098778192938</v>
      </c>
      <c r="Q406" s="24"/>
      <c r="R406" s="23">
        <v>3018.22</v>
      </c>
      <c r="S406" s="25">
        <f t="shared" si="21"/>
        <v>0.22125652523555356</v>
      </c>
      <c r="T406" s="36"/>
      <c r="U406" s="36">
        <f>Table24[[#This Row],[WagesPercent]]+Table24[[#This Row],[FoodCostPercent]]</f>
        <v>0.53127751301748294</v>
      </c>
      <c r="V406" s="36"/>
    </row>
    <row r="407" spans="1:22" x14ac:dyDescent="0.25">
      <c r="A407" s="20">
        <v>406</v>
      </c>
      <c r="B407" s="21" t="s">
        <v>103</v>
      </c>
      <c r="C407" s="21" t="s">
        <v>102</v>
      </c>
      <c r="D407" s="6" t="s">
        <v>57</v>
      </c>
      <c r="E407" s="6">
        <v>3804003</v>
      </c>
      <c r="F407" s="6" t="s">
        <v>8</v>
      </c>
      <c r="G407" s="6" t="s">
        <v>7</v>
      </c>
      <c r="H407" s="6" t="s">
        <v>41</v>
      </c>
      <c r="I407" s="23">
        <v>10991.74</v>
      </c>
      <c r="J407" s="23" t="e">
        <f>+VLOOKUP(Table24[[#This Row],[StoreNumber]],#REF!,5,FALSE)</f>
        <v>#REF!</v>
      </c>
      <c r="K407" s="23">
        <v>751</v>
      </c>
      <c r="L407" s="23"/>
      <c r="M407" s="23">
        <f>-12.35+3630.71+386.7</f>
        <v>4005.06</v>
      </c>
      <c r="N407" s="23">
        <v>195.99</v>
      </c>
      <c r="O407" s="23">
        <f>+Table24[[#This Row],[FoodcostBlueline]]+Table24[[#This Row],[Pepsico]]</f>
        <v>4201.05</v>
      </c>
      <c r="P407" s="24">
        <f t="shared" si="20"/>
        <v>0.38220063429447931</v>
      </c>
      <c r="Q407" s="24"/>
      <c r="R407" s="23">
        <v>3221.9</v>
      </c>
      <c r="S407" s="25">
        <f t="shared" si="21"/>
        <v>0.29312010655273868</v>
      </c>
      <c r="T407" s="36"/>
      <c r="U407" s="36">
        <f>Table24[[#This Row],[WagesPercent]]+Table24[[#This Row],[FoodCostPercent]]</f>
        <v>0.67532074084721794</v>
      </c>
      <c r="V407" s="36"/>
    </row>
    <row r="408" spans="1:22" x14ac:dyDescent="0.25">
      <c r="A408" s="20">
        <v>407</v>
      </c>
      <c r="B408" s="21" t="s">
        <v>103</v>
      </c>
      <c r="C408" s="21" t="s">
        <v>102</v>
      </c>
      <c r="D408" s="6" t="s">
        <v>57</v>
      </c>
      <c r="E408" s="6">
        <v>3804004</v>
      </c>
      <c r="F408" s="6" t="s">
        <v>9</v>
      </c>
      <c r="G408" s="6" t="s">
        <v>7</v>
      </c>
      <c r="H408" s="6" t="s">
        <v>41</v>
      </c>
      <c r="I408" s="23">
        <v>15903.7</v>
      </c>
      <c r="J408" s="23" t="e">
        <f>+VLOOKUP(Table24[[#This Row],[StoreNumber]],#REF!,5,FALSE)</f>
        <v>#REF!</v>
      </c>
      <c r="K408" s="23">
        <v>1058</v>
      </c>
      <c r="L408" s="23"/>
      <c r="M408" s="23">
        <f>4493.82-30</f>
        <v>4463.82</v>
      </c>
      <c r="N408" s="23">
        <v>593.44000000000005</v>
      </c>
      <c r="O408" s="23">
        <f>+Table24[[#This Row],[FoodcostBlueline]]+Table24[[#This Row],[Pepsico]]</f>
        <v>5057.26</v>
      </c>
      <c r="P408" s="24">
        <f t="shared" si="20"/>
        <v>0.31799266837276863</v>
      </c>
      <c r="Q408" s="24"/>
      <c r="R408" s="23">
        <v>3543.45</v>
      </c>
      <c r="S408" s="25">
        <f t="shared" si="21"/>
        <v>0.222806642479423</v>
      </c>
      <c r="T408" s="36"/>
      <c r="U408" s="36">
        <f>Table24[[#This Row],[WagesPercent]]+Table24[[#This Row],[FoodCostPercent]]</f>
        <v>0.54079931085219157</v>
      </c>
      <c r="V408" s="36"/>
    </row>
    <row r="409" spans="1:22" x14ac:dyDescent="0.25">
      <c r="A409" s="20">
        <v>408</v>
      </c>
      <c r="B409" s="21" t="s">
        <v>103</v>
      </c>
      <c r="C409" s="21" t="s">
        <v>102</v>
      </c>
      <c r="D409" s="6" t="s">
        <v>57</v>
      </c>
      <c r="E409" s="6">
        <v>3804005</v>
      </c>
      <c r="F409" s="6" t="s">
        <v>10</v>
      </c>
      <c r="G409" s="6" t="s">
        <v>7</v>
      </c>
      <c r="H409" s="6" t="s">
        <v>41</v>
      </c>
      <c r="I409" s="23">
        <v>13119.06</v>
      </c>
      <c r="J409" s="23" t="e">
        <f>+VLOOKUP(Table24[[#This Row],[StoreNumber]],#REF!,5,FALSE)</f>
        <v>#REF!</v>
      </c>
      <c r="K409" s="23">
        <v>863</v>
      </c>
      <c r="L409" s="23"/>
      <c r="M409" s="23">
        <f>3105.05-53</f>
        <v>3052.05</v>
      </c>
      <c r="N409" s="23">
        <v>727.67</v>
      </c>
      <c r="O409" s="23">
        <f>+Table24[[#This Row],[FoodcostBlueline]]+Table24[[#This Row],[Pepsico]]</f>
        <v>3779.7200000000003</v>
      </c>
      <c r="P409" s="24">
        <f t="shared" si="20"/>
        <v>0.28810905659399383</v>
      </c>
      <c r="Q409" s="24"/>
      <c r="R409" s="23">
        <v>3081.03</v>
      </c>
      <c r="S409" s="25">
        <f t="shared" si="21"/>
        <v>0.23485142990427671</v>
      </c>
      <c r="T409" s="36"/>
      <c r="U409" s="36">
        <f>Table24[[#This Row],[WagesPercent]]+Table24[[#This Row],[FoodCostPercent]]</f>
        <v>0.52296048649827054</v>
      </c>
      <c r="V409" s="36"/>
    </row>
    <row r="410" spans="1:22" x14ac:dyDescent="0.25">
      <c r="A410" s="20">
        <v>409</v>
      </c>
      <c r="B410" s="21" t="s">
        <v>103</v>
      </c>
      <c r="C410" s="21" t="s">
        <v>102</v>
      </c>
      <c r="D410" s="6" t="s">
        <v>57</v>
      </c>
      <c r="E410" s="6">
        <v>3804006</v>
      </c>
      <c r="F410" s="6" t="s">
        <v>11</v>
      </c>
      <c r="G410" s="6" t="s">
        <v>7</v>
      </c>
      <c r="H410" s="6" t="s">
        <v>41</v>
      </c>
      <c r="I410" s="23">
        <v>8128.01</v>
      </c>
      <c r="J410" s="23" t="e">
        <f>+VLOOKUP(Table24[[#This Row],[StoreNumber]],#REF!,5,FALSE)</f>
        <v>#REF!</v>
      </c>
      <c r="K410" s="23">
        <v>637</v>
      </c>
      <c r="L410" s="23"/>
      <c r="M410" s="23">
        <f>93.6-28+2094.04</f>
        <v>2159.64</v>
      </c>
      <c r="N410" s="23">
        <v>0</v>
      </c>
      <c r="O410" s="23">
        <f>+Table24[[#This Row],[FoodcostBlueline]]+Table24[[#This Row],[Pepsico]]</f>
        <v>2159.64</v>
      </c>
      <c r="P410" s="24">
        <f t="shared" si="20"/>
        <v>0.26570341325859587</v>
      </c>
      <c r="Q410" s="24"/>
      <c r="R410" s="23">
        <f>2005.84+166.46</f>
        <v>2172.2999999999997</v>
      </c>
      <c r="S410" s="25">
        <f t="shared" si="21"/>
        <v>0.26726099008244325</v>
      </c>
      <c r="T410" s="36"/>
      <c r="U410" s="36">
        <f>Table24[[#This Row],[WagesPercent]]+Table24[[#This Row],[FoodCostPercent]]</f>
        <v>0.53296440334103912</v>
      </c>
      <c r="V410" s="36"/>
    </row>
    <row r="411" spans="1:22" x14ac:dyDescent="0.25">
      <c r="A411" s="20">
        <v>410</v>
      </c>
      <c r="B411" s="21" t="s">
        <v>103</v>
      </c>
      <c r="C411" s="21" t="s">
        <v>102</v>
      </c>
      <c r="D411" s="6" t="s">
        <v>57</v>
      </c>
      <c r="E411" s="6">
        <v>3804008</v>
      </c>
      <c r="F411" s="6" t="s">
        <v>12</v>
      </c>
      <c r="G411" s="6" t="s">
        <v>42</v>
      </c>
      <c r="H411" s="6" t="s">
        <v>41</v>
      </c>
      <c r="I411" s="23">
        <v>22345.96</v>
      </c>
      <c r="J411" s="23" t="e">
        <f>+VLOOKUP(Table24[[#This Row],[StoreNumber]],#REF!,5,FALSE)</f>
        <v>#REF!</v>
      </c>
      <c r="K411" s="23">
        <v>1428</v>
      </c>
      <c r="L411" s="23"/>
      <c r="M411" s="23">
        <f>6212.02-72</f>
        <v>6140.02</v>
      </c>
      <c r="N411" s="23">
        <v>371.28</v>
      </c>
      <c r="O411" s="23">
        <f>+Table24[[#This Row],[FoodcostBlueline]]+Table24[[#This Row],[Pepsico]]</f>
        <v>6511.3</v>
      </c>
      <c r="P411" s="24">
        <f t="shared" si="20"/>
        <v>0.29138600445002139</v>
      </c>
      <c r="Q411" s="24"/>
      <c r="R411" s="23">
        <f>414.48+5361</f>
        <v>5775.48</v>
      </c>
      <c r="S411" s="25">
        <f t="shared" si="21"/>
        <v>0.25845745718689195</v>
      </c>
      <c r="T411" s="36"/>
      <c r="U411" s="36">
        <f>Table24[[#This Row],[WagesPercent]]+Table24[[#This Row],[FoodCostPercent]]</f>
        <v>0.54984346163691333</v>
      </c>
      <c r="V411" s="36"/>
    </row>
    <row r="412" spans="1:22" x14ac:dyDescent="0.25">
      <c r="A412" s="20">
        <v>411</v>
      </c>
      <c r="B412" s="21" t="s">
        <v>103</v>
      </c>
      <c r="C412" s="21" t="s">
        <v>102</v>
      </c>
      <c r="D412" s="6" t="s">
        <v>57</v>
      </c>
      <c r="E412" s="6">
        <v>3804009</v>
      </c>
      <c r="F412" s="6" t="s">
        <v>13</v>
      </c>
      <c r="G412" s="6" t="s">
        <v>42</v>
      </c>
      <c r="H412" s="6" t="s">
        <v>41</v>
      </c>
      <c r="I412" s="23">
        <v>15628.25</v>
      </c>
      <c r="J412" s="23" t="e">
        <f>+VLOOKUP(Table24[[#This Row],[StoreNumber]],#REF!,5,FALSE)</f>
        <v>#REF!</v>
      </c>
      <c r="K412" s="23">
        <v>980</v>
      </c>
      <c r="L412" s="23"/>
      <c r="M412" s="23">
        <f>-79-12.35+4700.59</f>
        <v>4609.24</v>
      </c>
      <c r="N412" s="23">
        <v>195.94</v>
      </c>
      <c r="O412" s="23">
        <f>+Table24[[#This Row],[FoodcostBlueline]]+Table24[[#This Row],[Pepsico]]</f>
        <v>4805.1799999999994</v>
      </c>
      <c r="P412" s="24">
        <f t="shared" si="20"/>
        <v>0.30746756674611675</v>
      </c>
      <c r="Q412" s="24"/>
      <c r="R412" s="23">
        <v>4508</v>
      </c>
      <c r="S412" s="25">
        <f t="shared" si="21"/>
        <v>0.28845200198358739</v>
      </c>
      <c r="T412" s="36"/>
      <c r="U412" s="36">
        <f>Table24[[#This Row],[WagesPercent]]+Table24[[#This Row],[FoodCostPercent]]</f>
        <v>0.59591956872970409</v>
      </c>
      <c r="V412" s="36"/>
    </row>
    <row r="413" spans="1:22" x14ac:dyDescent="0.25">
      <c r="A413" s="20">
        <v>412</v>
      </c>
      <c r="B413" s="21" t="s">
        <v>103</v>
      </c>
      <c r="C413" s="21" t="s">
        <v>102</v>
      </c>
      <c r="D413" s="6" t="s">
        <v>57</v>
      </c>
      <c r="E413" s="6">
        <v>3804010</v>
      </c>
      <c r="F413" s="6" t="s">
        <v>14</v>
      </c>
      <c r="G413" s="6" t="s">
        <v>42</v>
      </c>
      <c r="H413" s="6" t="s">
        <v>41</v>
      </c>
      <c r="I413" s="23">
        <v>8205.1200000000008</v>
      </c>
      <c r="J413" s="23" t="e">
        <f>+VLOOKUP(Table24[[#This Row],[StoreNumber]],#REF!,5,FALSE)</f>
        <v>#REF!</v>
      </c>
      <c r="K413" s="23">
        <v>471</v>
      </c>
      <c r="L413" s="23"/>
      <c r="M413" s="23">
        <f>1854.42-40</f>
        <v>1814.42</v>
      </c>
      <c r="N413" s="23">
        <v>0</v>
      </c>
      <c r="O413" s="23">
        <f>+Table24[[#This Row],[FoodcostBlueline]]+Table24[[#This Row],[Pepsico]]</f>
        <v>1814.42</v>
      </c>
      <c r="P413" s="24">
        <f t="shared" si="20"/>
        <v>0.22113265863265863</v>
      </c>
      <c r="Q413" s="24"/>
      <c r="R413" s="23">
        <v>1252</v>
      </c>
      <c r="S413" s="25">
        <f t="shared" si="21"/>
        <v>0.15258765258765258</v>
      </c>
      <c r="T413" s="36"/>
      <c r="U413" s="36">
        <f>Table24[[#This Row],[WagesPercent]]+Table24[[#This Row],[FoodCostPercent]]</f>
        <v>0.37372031122031124</v>
      </c>
      <c r="V413" s="36"/>
    </row>
    <row r="414" spans="1:22" x14ac:dyDescent="0.25">
      <c r="A414" s="20">
        <v>413</v>
      </c>
      <c r="B414" s="21" t="s">
        <v>103</v>
      </c>
      <c r="C414" s="21" t="s">
        <v>102</v>
      </c>
      <c r="D414" s="6" t="s">
        <v>57</v>
      </c>
      <c r="E414" s="6">
        <v>3804011</v>
      </c>
      <c r="F414" s="6" t="s">
        <v>15</v>
      </c>
      <c r="G414" s="6" t="s">
        <v>79</v>
      </c>
      <c r="H414" s="6" t="s">
        <v>41</v>
      </c>
      <c r="I414" s="23">
        <v>27587.1</v>
      </c>
      <c r="J414" s="23" t="e">
        <f>+VLOOKUP(Table24[[#This Row],[StoreNumber]],#REF!,5,FALSE)</f>
        <v>#REF!</v>
      </c>
      <c r="K414" s="23">
        <v>1789</v>
      </c>
      <c r="L414" s="23"/>
      <c r="M414" s="23">
        <f>7646.65-48</f>
        <v>7598.65</v>
      </c>
      <c r="N414" s="23">
        <v>0</v>
      </c>
      <c r="O414" s="23">
        <f>+Table24[[#This Row],[FoodcostBlueline]]+Table24[[#This Row],[Pepsico]]</f>
        <v>7598.65</v>
      </c>
      <c r="P414" s="24">
        <f t="shared" si="20"/>
        <v>0.27544214506055364</v>
      </c>
      <c r="Q414" s="24"/>
      <c r="R414" s="23">
        <f>2629.4+900+1000</f>
        <v>4529.3999999999996</v>
      </c>
      <c r="S414" s="25">
        <f t="shared" si="21"/>
        <v>0.16418543449655817</v>
      </c>
      <c r="T414" s="36"/>
      <c r="U414" s="36">
        <f>Table24[[#This Row],[WagesPercent]]+Table24[[#This Row],[FoodCostPercent]]</f>
        <v>0.43962757955711185</v>
      </c>
      <c r="V414" s="36"/>
    </row>
    <row r="415" spans="1:22" x14ac:dyDescent="0.25">
      <c r="A415" s="20">
        <v>414</v>
      </c>
      <c r="B415" s="21" t="s">
        <v>103</v>
      </c>
      <c r="C415" s="21" t="s">
        <v>102</v>
      </c>
      <c r="D415" s="6" t="s">
        <v>57</v>
      </c>
      <c r="E415" s="6">
        <v>3804013</v>
      </c>
      <c r="F415" s="6" t="s">
        <v>17</v>
      </c>
      <c r="G415" s="6" t="s">
        <v>79</v>
      </c>
      <c r="H415" s="6" t="s">
        <v>41</v>
      </c>
      <c r="I415" s="23">
        <v>9595.34</v>
      </c>
      <c r="J415" s="23" t="e">
        <f>+VLOOKUP(Table24[[#This Row],[StoreNumber]],#REF!,5,FALSE)</f>
        <v>#REF!</v>
      </c>
      <c r="K415" s="23">
        <v>609</v>
      </c>
      <c r="L415" s="23"/>
      <c r="M415" s="23">
        <f>2744.96-32</f>
        <v>2712.96</v>
      </c>
      <c r="N415" s="23">
        <v>182.81</v>
      </c>
      <c r="O415" s="23">
        <f>+Table24[[#This Row],[FoodcostBlueline]]+Table24[[#This Row],[Pepsico]]</f>
        <v>2895.77</v>
      </c>
      <c r="P415" s="24">
        <f t="shared" si="20"/>
        <v>0.30178920184172731</v>
      </c>
      <c r="Q415" s="24"/>
      <c r="R415" s="23">
        <v>2407.71</v>
      </c>
      <c r="S415" s="25">
        <f t="shared" si="21"/>
        <v>0.25092492814220235</v>
      </c>
      <c r="T415" s="36"/>
      <c r="U415" s="36">
        <f>Table24[[#This Row],[WagesPercent]]+Table24[[#This Row],[FoodCostPercent]]</f>
        <v>0.55271412998392966</v>
      </c>
      <c r="V415" s="36"/>
    </row>
    <row r="416" spans="1:22" x14ac:dyDescent="0.25">
      <c r="A416" s="20">
        <v>415</v>
      </c>
      <c r="B416" s="21" t="s">
        <v>103</v>
      </c>
      <c r="C416" s="21" t="s">
        <v>102</v>
      </c>
      <c r="D416" s="6" t="s">
        <v>57</v>
      </c>
      <c r="E416" s="6">
        <v>3804014</v>
      </c>
      <c r="F416" s="6" t="s">
        <v>18</v>
      </c>
      <c r="G416" s="6" t="s">
        <v>79</v>
      </c>
      <c r="H416" s="6" t="s">
        <v>41</v>
      </c>
      <c r="I416" s="23">
        <v>8861.1</v>
      </c>
      <c r="J416" s="23" t="e">
        <f>+VLOOKUP(Table24[[#This Row],[StoreNumber]],#REF!,5,FALSE)</f>
        <v>#REF!</v>
      </c>
      <c r="K416" s="23">
        <v>557</v>
      </c>
      <c r="L416" s="23"/>
      <c r="M416" s="23">
        <f>2613.06-25</f>
        <v>2588.06</v>
      </c>
      <c r="N416" s="23">
        <v>0</v>
      </c>
      <c r="O416" s="23">
        <f>+Table24[[#This Row],[FoodcostBlueline]]+Table24[[#This Row],[Pepsico]]</f>
        <v>2588.06</v>
      </c>
      <c r="P416" s="24">
        <f t="shared" si="20"/>
        <v>0.2920698333164054</v>
      </c>
      <c r="Q416" s="24"/>
      <c r="R416" s="23">
        <f>2512.32</f>
        <v>2512.3200000000002</v>
      </c>
      <c r="S416" s="25">
        <f t="shared" si="21"/>
        <v>0.28352236178352574</v>
      </c>
      <c r="T416" s="36"/>
      <c r="U416" s="36">
        <f>Table24[[#This Row],[WagesPercent]]+Table24[[#This Row],[FoodCostPercent]]</f>
        <v>0.5755921950999312</v>
      </c>
      <c r="V416" s="36"/>
    </row>
    <row r="417" spans="1:22" x14ac:dyDescent="0.25">
      <c r="A417" s="20">
        <v>416</v>
      </c>
      <c r="B417" s="21" t="s">
        <v>103</v>
      </c>
      <c r="C417" s="21" t="s">
        <v>102</v>
      </c>
      <c r="D417" s="6" t="s">
        <v>57</v>
      </c>
      <c r="E417" s="6">
        <v>3804015</v>
      </c>
      <c r="F417" s="6" t="s">
        <v>19</v>
      </c>
      <c r="G417" s="6" t="s">
        <v>20</v>
      </c>
      <c r="H417" s="6" t="s">
        <v>41</v>
      </c>
      <c r="I417" s="23">
        <v>15265.2</v>
      </c>
      <c r="J417" s="23" t="e">
        <f>+VLOOKUP(Table24[[#This Row],[StoreNumber]],#REF!,5,FALSE)</f>
        <v>#REF!</v>
      </c>
      <c r="K417" s="23">
        <v>986</v>
      </c>
      <c r="L417" s="23"/>
      <c r="M417" s="23">
        <f>-16-23.52+4507.41</f>
        <v>4467.8899999999994</v>
      </c>
      <c r="N417" s="23">
        <v>317.70999999999998</v>
      </c>
      <c r="O417" s="23">
        <f>+Table24[[#This Row],[FoodcostBlueline]]+Table24[[#This Row],[Pepsico]]</f>
        <v>4785.5999999999995</v>
      </c>
      <c r="P417" s="24">
        <f t="shared" si="20"/>
        <v>0.31349736655923272</v>
      </c>
      <c r="Q417" s="24"/>
      <c r="R417" s="23">
        <v>3796.12</v>
      </c>
      <c r="S417" s="25">
        <f t="shared" si="21"/>
        <v>0.24867803893823859</v>
      </c>
      <c r="T417" s="36"/>
      <c r="U417" s="36">
        <f>Table24[[#This Row],[WagesPercent]]+Table24[[#This Row],[FoodCostPercent]]</f>
        <v>0.56217540549747125</v>
      </c>
      <c r="V417" s="36"/>
    </row>
    <row r="418" spans="1:22" x14ac:dyDescent="0.25">
      <c r="A418" s="20">
        <v>417</v>
      </c>
      <c r="B418" s="21" t="s">
        <v>103</v>
      </c>
      <c r="C418" s="21" t="s">
        <v>102</v>
      </c>
      <c r="D418" s="6" t="s">
        <v>57</v>
      </c>
      <c r="E418" s="6">
        <v>3804016</v>
      </c>
      <c r="F418" s="6" t="s">
        <v>21</v>
      </c>
      <c r="G418" s="6" t="s">
        <v>22</v>
      </c>
      <c r="H418" s="6" t="s">
        <v>40</v>
      </c>
      <c r="I418" s="23">
        <v>12184.4</v>
      </c>
      <c r="J418" s="23" t="e">
        <f>+VLOOKUP(Table24[[#This Row],[StoreNumber]],#REF!,5,FALSE)</f>
        <v>#REF!</v>
      </c>
      <c r="K418" s="23">
        <v>728</v>
      </c>
      <c r="L418" s="23"/>
      <c r="M418" s="23">
        <f>-20-24.7+4569.28</f>
        <v>4524.58</v>
      </c>
      <c r="N418" s="23">
        <v>310.51</v>
      </c>
      <c r="O418" s="23">
        <f>+Table24[[#This Row],[FoodcostBlueline]]+Table24[[#This Row],[Pepsico]]</f>
        <v>4835.09</v>
      </c>
      <c r="P418" s="24">
        <f t="shared" si="20"/>
        <v>0.39682626965628182</v>
      </c>
      <c r="Q418" s="24"/>
      <c r="R418" s="23">
        <v>2585.69</v>
      </c>
      <c r="S418" s="25">
        <f t="shared" si="21"/>
        <v>0.2122131578083451</v>
      </c>
      <c r="T418" s="36"/>
      <c r="U418" s="36">
        <f>Table24[[#This Row],[WagesPercent]]+Table24[[#This Row],[FoodCostPercent]]</f>
        <v>0.60903942746462691</v>
      </c>
      <c r="V418" s="36"/>
    </row>
    <row r="419" spans="1:22" x14ac:dyDescent="0.25">
      <c r="A419" s="20">
        <v>418</v>
      </c>
      <c r="B419" s="21" t="s">
        <v>103</v>
      </c>
      <c r="C419" s="21" t="s">
        <v>102</v>
      </c>
      <c r="D419" s="6" t="s">
        <v>57</v>
      </c>
      <c r="E419" s="6">
        <v>3804017</v>
      </c>
      <c r="F419" s="6" t="s">
        <v>23</v>
      </c>
      <c r="G419" s="6" t="s">
        <v>22</v>
      </c>
      <c r="H419" s="6" t="s">
        <v>40</v>
      </c>
      <c r="I419" s="23">
        <v>17828.099999999999</v>
      </c>
      <c r="J419" s="23" t="e">
        <f>+VLOOKUP(Table24[[#This Row],[StoreNumber]],#REF!,5,FALSE)</f>
        <v>#REF!</v>
      </c>
      <c r="K419" s="23">
        <v>1148</v>
      </c>
      <c r="L419" s="23"/>
      <c r="M419" s="23">
        <f>-13+5177.88</f>
        <v>5164.88</v>
      </c>
      <c r="N419" s="23">
        <v>678.8</v>
      </c>
      <c r="O419" s="23">
        <f>+Table24[[#This Row],[FoodcostBlueline]]+Table24[[#This Row],[Pepsico]]</f>
        <v>5843.68</v>
      </c>
      <c r="P419" s="24">
        <f t="shared" si="20"/>
        <v>0.32777918005844708</v>
      </c>
      <c r="Q419" s="24"/>
      <c r="R419" s="23">
        <v>3749.68</v>
      </c>
      <c r="S419" s="25">
        <f t="shared" si="21"/>
        <v>0.21032415119951089</v>
      </c>
      <c r="T419" s="36"/>
      <c r="U419" s="36">
        <f>Table24[[#This Row],[WagesPercent]]+Table24[[#This Row],[FoodCostPercent]]</f>
        <v>0.53810333125795795</v>
      </c>
      <c r="V419" s="36"/>
    </row>
    <row r="420" spans="1:22" x14ac:dyDescent="0.25">
      <c r="A420" s="20">
        <v>419</v>
      </c>
      <c r="B420" s="21" t="s">
        <v>103</v>
      </c>
      <c r="C420" s="21" t="s">
        <v>102</v>
      </c>
      <c r="D420" s="6" t="s">
        <v>57</v>
      </c>
      <c r="E420" s="6">
        <v>3804018</v>
      </c>
      <c r="F420" s="6" t="s">
        <v>24</v>
      </c>
      <c r="G420" s="6" t="s">
        <v>20</v>
      </c>
      <c r="H420" s="6" t="s">
        <v>41</v>
      </c>
      <c r="I420" s="37">
        <v>18623.72</v>
      </c>
      <c r="J420" s="23" t="e">
        <f>+VLOOKUP(Table24[[#This Row],[StoreNumber]],#REF!,5,FALSE)</f>
        <v>#REF!</v>
      </c>
      <c r="K420" s="23">
        <v>1106</v>
      </c>
      <c r="L420" s="23"/>
      <c r="M420" s="23">
        <f>-15-12.35+6327.49</f>
        <v>6300.1399999999994</v>
      </c>
      <c r="N420" s="23">
        <v>285.10000000000002</v>
      </c>
      <c r="O420" s="23">
        <f>+Table24[[#This Row],[FoodcostBlueline]]+Table24[[#This Row],[Pepsico]]</f>
        <v>6585.24</v>
      </c>
      <c r="P420" s="24">
        <f t="shared" si="20"/>
        <v>0.35359423359028158</v>
      </c>
      <c r="Q420" s="24"/>
      <c r="R420" s="23">
        <v>4271.79</v>
      </c>
      <c r="S420" s="25">
        <f t="shared" si="21"/>
        <v>0.22937361601226822</v>
      </c>
      <c r="T420" s="36"/>
      <c r="U420" s="36">
        <f>Table24[[#This Row],[WagesPercent]]+Table24[[#This Row],[FoodCostPercent]]</f>
        <v>0.58296784960254977</v>
      </c>
      <c r="V420" s="36"/>
    </row>
    <row r="421" spans="1:22" x14ac:dyDescent="0.25">
      <c r="A421" s="20">
        <v>420</v>
      </c>
      <c r="B421" s="21" t="s">
        <v>103</v>
      </c>
      <c r="C421" s="21" t="s">
        <v>102</v>
      </c>
      <c r="D421" s="6" t="s">
        <v>57</v>
      </c>
      <c r="E421" s="6">
        <v>3804019</v>
      </c>
      <c r="F421" s="6" t="s">
        <v>25</v>
      </c>
      <c r="G421" s="6" t="s">
        <v>20</v>
      </c>
      <c r="H421" s="6" t="s">
        <v>41</v>
      </c>
      <c r="I421" s="37">
        <v>12493.47</v>
      </c>
      <c r="J421" s="23" t="e">
        <f>+VLOOKUP(Table24[[#This Row],[StoreNumber]],#REF!,5,FALSE)</f>
        <v>#REF!</v>
      </c>
      <c r="K421" s="23">
        <v>777</v>
      </c>
      <c r="L421" s="23"/>
      <c r="M421" s="23">
        <f>-2-12.35+3790.56-9.38</f>
        <v>3766.83</v>
      </c>
      <c r="N421" s="23">
        <v>0</v>
      </c>
      <c r="O421" s="23">
        <f>+Table24[[#This Row],[FoodcostBlueline]]+Table24[[#This Row],[Pepsico]]</f>
        <v>3766.83</v>
      </c>
      <c r="P421" s="24">
        <f t="shared" si="20"/>
        <v>0.30150390564030649</v>
      </c>
      <c r="Q421" s="24"/>
      <c r="R421" s="23">
        <v>3058.64</v>
      </c>
      <c r="S421" s="25">
        <f t="shared" si="21"/>
        <v>0.2448190934944415</v>
      </c>
      <c r="T421" s="36"/>
      <c r="U421" s="36">
        <f>Table24[[#This Row],[WagesPercent]]+Table24[[#This Row],[FoodCostPercent]]</f>
        <v>0.54632299913474802</v>
      </c>
      <c r="V421" s="36"/>
    </row>
    <row r="422" spans="1:22" x14ac:dyDescent="0.25">
      <c r="A422" s="20">
        <v>421</v>
      </c>
      <c r="B422" s="21" t="s">
        <v>103</v>
      </c>
      <c r="C422" s="21" t="s">
        <v>102</v>
      </c>
      <c r="D422" s="6" t="s">
        <v>57</v>
      </c>
      <c r="E422" s="6">
        <v>3804020</v>
      </c>
      <c r="F422" s="6" t="s">
        <v>26</v>
      </c>
      <c r="G422" s="6" t="s">
        <v>22</v>
      </c>
      <c r="H422" s="6" t="s">
        <v>40</v>
      </c>
      <c r="I422" s="23">
        <v>13272.15</v>
      </c>
      <c r="J422" s="23" t="e">
        <f>+VLOOKUP(Table24[[#This Row],[StoreNumber]],#REF!,5,FALSE)</f>
        <v>#REF!</v>
      </c>
      <c r="K422" s="23">
        <v>759</v>
      </c>
      <c r="L422" s="23"/>
      <c r="M422" s="23">
        <f>-14-12.35+4028.25+50</f>
        <v>4051.9</v>
      </c>
      <c r="N422" s="23">
        <v>338.89</v>
      </c>
      <c r="O422" s="23">
        <f>+Table24[[#This Row],[FoodcostBlueline]]+Table24[[#This Row],[Pepsico]]</f>
        <v>4390.79</v>
      </c>
      <c r="P422" s="24">
        <f t="shared" si="20"/>
        <v>0.33082733392856473</v>
      </c>
      <c r="Q422" s="24"/>
      <c r="R422" s="23">
        <v>2775.47</v>
      </c>
      <c r="S422" s="25">
        <f t="shared" si="21"/>
        <v>0.20911984870574848</v>
      </c>
      <c r="T422" s="36"/>
      <c r="U422" s="36">
        <f>Table24[[#This Row],[WagesPercent]]+Table24[[#This Row],[FoodCostPercent]]</f>
        <v>0.53994718263431318</v>
      </c>
      <c r="V422" s="36"/>
    </row>
    <row r="423" spans="1:22" x14ac:dyDescent="0.25">
      <c r="A423" s="20">
        <v>422</v>
      </c>
      <c r="B423" s="21" t="s">
        <v>103</v>
      </c>
      <c r="C423" s="21" t="s">
        <v>102</v>
      </c>
      <c r="D423" s="6" t="s">
        <v>57</v>
      </c>
      <c r="E423" s="6">
        <v>3804021</v>
      </c>
      <c r="F423" s="6" t="s">
        <v>27</v>
      </c>
      <c r="G423" s="6" t="s">
        <v>22</v>
      </c>
      <c r="H423" s="6" t="s">
        <v>40</v>
      </c>
      <c r="I423" s="37">
        <v>22623.25</v>
      </c>
      <c r="J423" s="23" t="e">
        <f>+VLOOKUP(Table24[[#This Row],[StoreNumber]],#REF!,5,FALSE)</f>
        <v>#REF!</v>
      </c>
      <c r="K423" s="23">
        <v>1411</v>
      </c>
      <c r="L423" s="23"/>
      <c r="M423" s="23">
        <f>-35+7054.95</f>
        <v>7019.95</v>
      </c>
      <c r="N423" s="23">
        <v>388.14</v>
      </c>
      <c r="O423" s="23">
        <f>+Table24[[#This Row],[FoodcostBlueline]]+Table24[[#This Row],[Pepsico]]</f>
        <v>7408.09</v>
      </c>
      <c r="P423" s="24">
        <f t="shared" si="20"/>
        <v>0.32745472025460531</v>
      </c>
      <c r="Q423" s="24"/>
      <c r="R423" s="23">
        <v>5007.78</v>
      </c>
      <c r="S423" s="25">
        <f t="shared" si="21"/>
        <v>0.22135546395853822</v>
      </c>
      <c r="T423" s="36"/>
      <c r="U423" s="36">
        <f>Table24[[#This Row],[WagesPercent]]+Table24[[#This Row],[FoodCostPercent]]</f>
        <v>0.54881018421314354</v>
      </c>
      <c r="V423" s="36"/>
    </row>
    <row r="424" spans="1:22" x14ac:dyDescent="0.25">
      <c r="A424" s="20">
        <v>423</v>
      </c>
      <c r="B424" s="21" t="s">
        <v>103</v>
      </c>
      <c r="C424" s="21" t="s">
        <v>102</v>
      </c>
      <c r="D424" s="6" t="s">
        <v>57</v>
      </c>
      <c r="E424" s="6">
        <v>3804022</v>
      </c>
      <c r="F424" s="6" t="s">
        <v>28</v>
      </c>
      <c r="G424" s="6" t="s">
        <v>22</v>
      </c>
      <c r="H424" s="6" t="s">
        <v>40</v>
      </c>
      <c r="I424" s="23">
        <v>12498.75</v>
      </c>
      <c r="J424" s="23" t="e">
        <f>+VLOOKUP(Table24[[#This Row],[StoreNumber]],#REF!,5,FALSE)</f>
        <v>#REF!</v>
      </c>
      <c r="K424" s="23">
        <v>767</v>
      </c>
      <c r="L424" s="23"/>
      <c r="M424" s="23">
        <f>-7-12.35+4421.73</f>
        <v>4402.3799999999992</v>
      </c>
      <c r="N424" s="23">
        <v>387.11</v>
      </c>
      <c r="O424" s="23">
        <f>+Table24[[#This Row],[FoodcostBlueline]]+Table24[[#This Row],[Pepsico]]</f>
        <v>4789.4899999999989</v>
      </c>
      <c r="P424" s="24">
        <f t="shared" si="20"/>
        <v>0.38319751975197508</v>
      </c>
      <c r="Q424" s="24"/>
      <c r="R424" s="23">
        <v>2915.21</v>
      </c>
      <c r="S424" s="25">
        <f t="shared" si="21"/>
        <v>0.23324012401240124</v>
      </c>
      <c r="T424" s="36"/>
      <c r="U424" s="36">
        <f>Table24[[#This Row],[WagesPercent]]+Table24[[#This Row],[FoodCostPercent]]</f>
        <v>0.61643764376437638</v>
      </c>
      <c r="V424" s="36"/>
    </row>
    <row r="425" spans="1:22" x14ac:dyDescent="0.25">
      <c r="A425" s="20">
        <v>424</v>
      </c>
      <c r="B425" s="21" t="s">
        <v>103</v>
      </c>
      <c r="C425" s="21" t="s">
        <v>102</v>
      </c>
      <c r="D425" s="6" t="s">
        <v>57</v>
      </c>
      <c r="E425" s="6">
        <v>3804023</v>
      </c>
      <c r="F425" s="6" t="s">
        <v>29</v>
      </c>
      <c r="G425" s="6" t="s">
        <v>22</v>
      </c>
      <c r="H425" s="6" t="s">
        <v>40</v>
      </c>
      <c r="I425" s="23">
        <v>13808.95</v>
      </c>
      <c r="J425" s="23" t="e">
        <f>+VLOOKUP(Table24[[#This Row],[StoreNumber]],#REF!,5,FALSE)</f>
        <v>#REF!</v>
      </c>
      <c r="K425" s="23">
        <v>896</v>
      </c>
      <c r="L425" s="23"/>
      <c r="M425" s="23">
        <f>-21+4644.71</f>
        <v>4623.71</v>
      </c>
      <c r="N425" s="23">
        <v>499.86</v>
      </c>
      <c r="O425" s="23">
        <f>+Table24[[#This Row],[FoodcostBlueline]]+Table24[[#This Row],[Pepsico]]</f>
        <v>5123.57</v>
      </c>
      <c r="P425" s="24">
        <f t="shared" si="20"/>
        <v>0.37103255497340487</v>
      </c>
      <c r="Q425" s="24"/>
      <c r="R425" s="23">
        <v>3097.82</v>
      </c>
      <c r="S425" s="25">
        <f t="shared" si="21"/>
        <v>0.22433421802526624</v>
      </c>
      <c r="T425" s="36"/>
      <c r="U425" s="36">
        <f>Table24[[#This Row],[WagesPercent]]+Table24[[#This Row],[FoodCostPercent]]</f>
        <v>0.59536677299867113</v>
      </c>
      <c r="V425" s="36"/>
    </row>
    <row r="426" spans="1:22" x14ac:dyDescent="0.25">
      <c r="A426" s="20">
        <v>425</v>
      </c>
      <c r="B426" s="21" t="s">
        <v>103</v>
      </c>
      <c r="C426" s="21" t="s">
        <v>102</v>
      </c>
      <c r="D426" s="6" t="s">
        <v>57</v>
      </c>
      <c r="E426" s="6">
        <v>3804024</v>
      </c>
      <c r="F426" s="6" t="s">
        <v>30</v>
      </c>
      <c r="G426" s="6" t="s">
        <v>20</v>
      </c>
      <c r="H426" s="6" t="s">
        <v>41</v>
      </c>
      <c r="I426" s="23">
        <v>10164.129999999999</v>
      </c>
      <c r="J426" s="23" t="e">
        <f>+VLOOKUP(Table24[[#This Row],[StoreNumber]],#REF!,5,FALSE)</f>
        <v>#REF!</v>
      </c>
      <c r="K426" s="23">
        <v>684</v>
      </c>
      <c r="L426" s="23"/>
      <c r="M426" s="23">
        <f>-26-12.35+3831+64.75</f>
        <v>3857.4</v>
      </c>
      <c r="N426" s="23">
        <v>301.52999999999997</v>
      </c>
      <c r="O426" s="23">
        <f>+Table24[[#This Row],[FoodcostBlueline]]+Table24[[#This Row],[Pepsico]]</f>
        <v>4158.93</v>
      </c>
      <c r="P426" s="24">
        <f t="shared" si="20"/>
        <v>0.40917717502629353</v>
      </c>
      <c r="Q426" s="24"/>
      <c r="R426" s="23">
        <f>3695.93+69.23</f>
        <v>3765.16</v>
      </c>
      <c r="S426" s="25">
        <f t="shared" si="21"/>
        <v>0.37043603338406733</v>
      </c>
      <c r="T426" s="36"/>
      <c r="U426" s="36">
        <f>Table24[[#This Row],[WagesPercent]]+Table24[[#This Row],[FoodCostPercent]]</f>
        <v>0.77961320841036086</v>
      </c>
      <c r="V426" s="36"/>
    </row>
    <row r="427" spans="1:22" x14ac:dyDescent="0.25">
      <c r="A427" s="20">
        <v>426</v>
      </c>
      <c r="B427" s="21" t="s">
        <v>103</v>
      </c>
      <c r="C427" s="21" t="s">
        <v>102</v>
      </c>
      <c r="D427" s="6" t="s">
        <v>57</v>
      </c>
      <c r="E427" s="6">
        <v>3804025</v>
      </c>
      <c r="F427" s="6" t="s">
        <v>31</v>
      </c>
      <c r="G427" s="6" t="s">
        <v>20</v>
      </c>
      <c r="H427" s="6" t="s">
        <v>41</v>
      </c>
      <c r="I427" s="23">
        <v>24817.91</v>
      </c>
      <c r="J427" s="23" t="e">
        <f>+VLOOKUP(Table24[[#This Row],[StoreNumber]],#REF!,5,FALSE)</f>
        <v>#REF!</v>
      </c>
      <c r="K427" s="23">
        <v>1566</v>
      </c>
      <c r="L427" s="23"/>
      <c r="M427" s="23">
        <f>-37+7894.63</f>
        <v>7857.63</v>
      </c>
      <c r="N427" s="23">
        <v>501.11</v>
      </c>
      <c r="O427" s="23">
        <f>+Table24[[#This Row],[FoodcostBlueline]]+Table24[[#This Row],[Pepsico]]</f>
        <v>8358.74</v>
      </c>
      <c r="P427" s="24">
        <f t="shared" si="20"/>
        <v>0.33680273641092257</v>
      </c>
      <c r="Q427" s="24"/>
      <c r="R427" s="23">
        <v>5258.68</v>
      </c>
      <c r="S427" s="25">
        <f t="shared" si="21"/>
        <v>0.21189052583396428</v>
      </c>
      <c r="T427" s="36"/>
      <c r="U427" s="36">
        <f>Table24[[#This Row],[WagesPercent]]+Table24[[#This Row],[FoodCostPercent]]</f>
        <v>0.54869326224488679</v>
      </c>
      <c r="V427" s="36"/>
    </row>
    <row r="428" spans="1:22" x14ac:dyDescent="0.25">
      <c r="A428" s="20">
        <v>427</v>
      </c>
      <c r="B428" s="21" t="s">
        <v>103</v>
      </c>
      <c r="C428" s="21" t="s">
        <v>102</v>
      </c>
      <c r="D428" s="6" t="s">
        <v>57</v>
      </c>
      <c r="E428" s="6">
        <v>3804026</v>
      </c>
      <c r="F428" s="6" t="s">
        <v>32</v>
      </c>
      <c r="G428" s="6" t="s">
        <v>79</v>
      </c>
      <c r="H428" s="6" t="s">
        <v>41</v>
      </c>
      <c r="I428" s="23">
        <v>13138.46</v>
      </c>
      <c r="J428" s="23" t="e">
        <f>+VLOOKUP(Table24[[#This Row],[StoreNumber]],#REF!,5,FALSE)</f>
        <v>#REF!</v>
      </c>
      <c r="K428" s="23">
        <v>767</v>
      </c>
      <c r="L428" s="23"/>
      <c r="M428" s="23">
        <f>-55+3919.25</f>
        <v>3864.25</v>
      </c>
      <c r="N428" s="23">
        <v>509.21</v>
      </c>
      <c r="O428" s="23">
        <f>+Table24[[#This Row],[FoodcostBlueline]]+Table24[[#This Row],[Pepsico]]</f>
        <v>4373.46</v>
      </c>
      <c r="P428" s="24">
        <f t="shared" si="20"/>
        <v>0.33287462914222826</v>
      </c>
      <c r="Q428" s="24"/>
      <c r="R428" s="23">
        <v>3630.87</v>
      </c>
      <c r="S428" s="25">
        <f t="shared" si="21"/>
        <v>0.2763543063646729</v>
      </c>
      <c r="T428" s="36"/>
      <c r="U428" s="36">
        <f>Table24[[#This Row],[WagesPercent]]+Table24[[#This Row],[FoodCostPercent]]</f>
        <v>0.60922893550690116</v>
      </c>
      <c r="V428" s="36"/>
    </row>
    <row r="429" spans="1:22" x14ac:dyDescent="0.25">
      <c r="A429" s="20">
        <v>428</v>
      </c>
      <c r="B429" s="21" t="s">
        <v>103</v>
      </c>
      <c r="C429" s="21" t="s">
        <v>102</v>
      </c>
      <c r="D429" s="6" t="s">
        <v>57</v>
      </c>
      <c r="E429" s="6">
        <v>3804027</v>
      </c>
      <c r="F429" s="6" t="s">
        <v>33</v>
      </c>
      <c r="G429" s="6" t="s">
        <v>43</v>
      </c>
      <c r="H429" s="6" t="s">
        <v>41</v>
      </c>
      <c r="I429" s="23">
        <v>18836.580000000002</v>
      </c>
      <c r="J429" s="23" t="e">
        <f>+VLOOKUP(Table24[[#This Row],[StoreNumber]],#REF!,5,FALSE)</f>
        <v>#REF!</v>
      </c>
      <c r="K429" s="23">
        <v>1328</v>
      </c>
      <c r="L429" s="23"/>
      <c r="M429" s="23">
        <f>-60+5622.17-501.6+501.6</f>
        <v>5562.17</v>
      </c>
      <c r="N429" s="23">
        <v>942.84</v>
      </c>
      <c r="O429" s="23">
        <f>+Table24[[#This Row],[FoodcostBlueline]]+Table24[[#This Row],[Pepsico]]</f>
        <v>6505.01</v>
      </c>
      <c r="P429" s="24">
        <f t="shared" si="20"/>
        <v>0.34533922824631647</v>
      </c>
      <c r="Q429" s="24"/>
      <c r="R429" s="23">
        <f>1746.05+277+1600</f>
        <v>3623.05</v>
      </c>
      <c r="S429" s="25">
        <f t="shared" si="21"/>
        <v>0.19234117870653802</v>
      </c>
      <c r="T429" s="36"/>
      <c r="U429" s="36">
        <f>Table24[[#This Row],[WagesPercent]]+Table24[[#This Row],[FoodCostPercent]]</f>
        <v>0.53768040695285446</v>
      </c>
      <c r="V429" s="36"/>
    </row>
    <row r="430" spans="1:22" x14ac:dyDescent="0.25">
      <c r="A430" s="20">
        <v>429</v>
      </c>
      <c r="B430" s="21" t="s">
        <v>103</v>
      </c>
      <c r="C430" s="21" t="s">
        <v>102</v>
      </c>
      <c r="D430" s="6" t="s">
        <v>57</v>
      </c>
      <c r="E430" s="6">
        <v>3804029</v>
      </c>
      <c r="F430" s="6" t="s">
        <v>34</v>
      </c>
      <c r="G430" s="6" t="s">
        <v>79</v>
      </c>
      <c r="H430" s="6" t="s">
        <v>41</v>
      </c>
      <c r="I430" s="23">
        <v>10162.07</v>
      </c>
      <c r="J430" s="23" t="e">
        <f>+VLOOKUP(Table24[[#This Row],[StoreNumber]],#REF!,5,FALSE)</f>
        <v>#REF!</v>
      </c>
      <c r="K430" s="23">
        <v>680</v>
      </c>
      <c r="L430" s="23"/>
      <c r="M430" s="23">
        <f>-43+3274.24</f>
        <v>3231.24</v>
      </c>
      <c r="N430" s="23">
        <v>0</v>
      </c>
      <c r="O430" s="23">
        <f>+Table24[[#This Row],[FoodcostBlueline]]+Table24[[#This Row],[Pepsico]]</f>
        <v>3231.24</v>
      </c>
      <c r="P430" s="24">
        <f t="shared" si="20"/>
        <v>0.31797064968062611</v>
      </c>
      <c r="Q430" s="24"/>
      <c r="R430" s="23">
        <f>1060+1185+1476+1570-1476</f>
        <v>3815</v>
      </c>
      <c r="S430" s="25">
        <f t="shared" si="21"/>
        <v>0.37541563874289391</v>
      </c>
      <c r="T430" s="36"/>
      <c r="U430" s="36">
        <f>Table24[[#This Row],[WagesPercent]]+Table24[[#This Row],[FoodCostPercent]]</f>
        <v>0.69338628842352001</v>
      </c>
      <c r="V430" s="36"/>
    </row>
    <row r="431" spans="1:22" x14ac:dyDescent="0.25">
      <c r="A431" s="20">
        <v>430</v>
      </c>
      <c r="B431" s="21" t="s">
        <v>103</v>
      </c>
      <c r="C431" s="21" t="s">
        <v>102</v>
      </c>
      <c r="D431" s="6" t="s">
        <v>57</v>
      </c>
      <c r="E431" s="6">
        <v>3804030</v>
      </c>
      <c r="F431" s="6" t="s">
        <v>35</v>
      </c>
      <c r="G431" s="6" t="s">
        <v>5</v>
      </c>
      <c r="H431" s="6" t="s">
        <v>40</v>
      </c>
      <c r="I431" s="23">
        <v>9599.1299999999992</v>
      </c>
      <c r="J431" s="23" t="e">
        <f>+VLOOKUP(Table24[[#This Row],[StoreNumber]],#REF!,5,FALSE)</f>
        <v>#REF!</v>
      </c>
      <c r="K431" s="23">
        <v>554</v>
      </c>
      <c r="L431" s="23"/>
      <c r="M431" s="23">
        <f>2759.91-49</f>
        <v>2710.91</v>
      </c>
      <c r="N431" s="23">
        <v>165.78</v>
      </c>
      <c r="O431" s="23">
        <f>+Table24[[#This Row],[FoodcostBlueline]]+Table24[[#This Row],[Pepsico]]</f>
        <v>2876.69</v>
      </c>
      <c r="P431" s="24">
        <f t="shared" si="20"/>
        <v>0.29968236704784706</v>
      </c>
      <c r="Q431" s="24"/>
      <c r="R431" s="23">
        <v>2396.09</v>
      </c>
      <c r="S431" s="25">
        <f t="shared" si="21"/>
        <v>0.24961532972258949</v>
      </c>
      <c r="T431" s="36"/>
      <c r="U431" s="36">
        <f>Table24[[#This Row],[WagesPercent]]+Table24[[#This Row],[FoodCostPercent]]</f>
        <v>0.54929769677043661</v>
      </c>
      <c r="V431" s="36"/>
    </row>
    <row r="432" spans="1:22" x14ac:dyDescent="0.25">
      <c r="A432" s="20">
        <v>431</v>
      </c>
      <c r="B432" s="21" t="s">
        <v>103</v>
      </c>
      <c r="C432" s="21" t="s">
        <v>102</v>
      </c>
      <c r="D432" s="6" t="s">
        <v>57</v>
      </c>
      <c r="E432" s="6">
        <v>3804031</v>
      </c>
      <c r="F432" s="6" t="s">
        <v>36</v>
      </c>
      <c r="G432" s="6" t="s">
        <v>5</v>
      </c>
      <c r="H432" s="6" t="s">
        <v>40</v>
      </c>
      <c r="I432" s="23">
        <v>9668.26</v>
      </c>
      <c r="J432" s="23" t="e">
        <f>+VLOOKUP(Table24[[#This Row],[StoreNumber]],#REF!,5,FALSE)</f>
        <v>#REF!</v>
      </c>
      <c r="K432" s="23">
        <v>651</v>
      </c>
      <c r="L432" s="23"/>
      <c r="M432" s="23">
        <f>3454.76-57</f>
        <v>3397.76</v>
      </c>
      <c r="N432" s="23">
        <v>209.23</v>
      </c>
      <c r="O432" s="23">
        <f>+Table24[[#This Row],[FoodcostBlueline]]+Table24[[#This Row],[Pepsico]]</f>
        <v>3606.9900000000002</v>
      </c>
      <c r="P432" s="24">
        <f t="shared" si="20"/>
        <v>0.37307540343350304</v>
      </c>
      <c r="Q432" s="24"/>
      <c r="R432" s="37">
        <f>2470.09+720</f>
        <v>3190.09</v>
      </c>
      <c r="S432" s="25">
        <f t="shared" si="21"/>
        <v>0.32995492467103699</v>
      </c>
      <c r="T432" s="36"/>
      <c r="U432" s="36">
        <f>Table24[[#This Row],[WagesPercent]]+Table24[[#This Row],[FoodCostPercent]]</f>
        <v>0.70303032810454003</v>
      </c>
      <c r="V432" s="36"/>
    </row>
    <row r="433" spans="1:22" x14ac:dyDescent="0.25">
      <c r="A433" s="20">
        <v>432</v>
      </c>
      <c r="B433" s="21" t="s">
        <v>103</v>
      </c>
      <c r="C433" s="21" t="s">
        <v>102</v>
      </c>
      <c r="D433" s="6" t="s">
        <v>57</v>
      </c>
      <c r="E433" s="6">
        <v>3804032</v>
      </c>
      <c r="F433" s="6" t="s">
        <v>37</v>
      </c>
      <c r="G433" s="6" t="s">
        <v>5</v>
      </c>
      <c r="H433" s="6" t="s">
        <v>40</v>
      </c>
      <c r="I433" s="23">
        <v>9094.06</v>
      </c>
      <c r="J433" s="23" t="e">
        <f>+VLOOKUP(Table24[[#This Row],[StoreNumber]],#REF!,5,FALSE)</f>
        <v>#REF!</v>
      </c>
      <c r="K433" s="23">
        <v>556</v>
      </c>
      <c r="L433" s="23"/>
      <c r="M433" s="23">
        <f>-61+2866.66</f>
        <v>2805.66</v>
      </c>
      <c r="N433" s="23">
        <v>212.4</v>
      </c>
      <c r="O433" s="23">
        <f>+Table24[[#This Row],[FoodcostBlueline]]+Table24[[#This Row],[Pepsico]]</f>
        <v>3018.06</v>
      </c>
      <c r="P433" s="24">
        <f t="shared" si="20"/>
        <v>0.33187157331268985</v>
      </c>
      <c r="Q433" s="24"/>
      <c r="R433" s="23">
        <f>1350+850+200</f>
        <v>2400</v>
      </c>
      <c r="S433" s="25">
        <f t="shared" si="21"/>
        <v>0.26390852930374331</v>
      </c>
      <c r="T433" s="36"/>
      <c r="U433" s="36">
        <f>Table24[[#This Row],[WagesPercent]]+Table24[[#This Row],[FoodCostPercent]]</f>
        <v>0.5957801026164331</v>
      </c>
      <c r="V433" s="36"/>
    </row>
    <row r="434" spans="1:22" x14ac:dyDescent="0.25">
      <c r="A434" s="20">
        <v>433</v>
      </c>
      <c r="B434" s="21" t="s">
        <v>103</v>
      </c>
      <c r="C434" s="21" t="s">
        <v>102</v>
      </c>
      <c r="D434" s="6" t="s">
        <v>57</v>
      </c>
      <c r="E434" s="6">
        <v>3804033</v>
      </c>
      <c r="F434" s="6" t="s">
        <v>38</v>
      </c>
      <c r="G434" s="6" t="s">
        <v>5</v>
      </c>
      <c r="H434" s="6" t="s">
        <v>40</v>
      </c>
      <c r="I434" s="23">
        <v>7790.04</v>
      </c>
      <c r="J434" s="23" t="e">
        <f>+VLOOKUP(Table24[[#This Row],[StoreNumber]],#REF!,5,FALSE)</f>
        <v>#REF!</v>
      </c>
      <c r="K434" s="23">
        <v>569</v>
      </c>
      <c r="L434" s="23"/>
      <c r="M434" s="23">
        <f>2106.78-19</f>
        <v>2087.7800000000002</v>
      </c>
      <c r="N434" s="23">
        <v>159.44</v>
      </c>
      <c r="O434" s="23">
        <f>+Table24[[#This Row],[FoodcostBlueline]]+Table24[[#This Row],[Pepsico]]</f>
        <v>2247.2200000000003</v>
      </c>
      <c r="P434" s="24">
        <f t="shared" si="20"/>
        <v>0.28847348665732142</v>
      </c>
      <c r="Q434" s="24"/>
      <c r="R434" s="23">
        <f>1350+850+165.58</f>
        <v>2365.58</v>
      </c>
      <c r="S434" s="25">
        <f t="shared" si="21"/>
        <v>0.30366724689475277</v>
      </c>
      <c r="T434" s="36"/>
      <c r="U434" s="36">
        <f>Table24[[#This Row],[WagesPercent]]+Table24[[#This Row],[FoodCostPercent]]</f>
        <v>0.59214073355207419</v>
      </c>
      <c r="V434" s="36"/>
    </row>
    <row r="435" spans="1:22" x14ac:dyDescent="0.25">
      <c r="A435" s="20">
        <v>434</v>
      </c>
      <c r="B435" s="21" t="s">
        <v>103</v>
      </c>
      <c r="C435" s="21" t="s">
        <v>102</v>
      </c>
      <c r="D435" s="6" t="s">
        <v>57</v>
      </c>
      <c r="E435" s="6">
        <v>3804034</v>
      </c>
      <c r="F435" s="6" t="s">
        <v>53</v>
      </c>
      <c r="G435" s="6" t="s">
        <v>79</v>
      </c>
      <c r="H435" s="6" t="s">
        <v>41</v>
      </c>
      <c r="I435" s="23">
        <v>7755.88</v>
      </c>
      <c r="J435" s="23" t="e">
        <f>+VLOOKUP(Table24[[#This Row],[StoreNumber]],#REF!,5,FALSE)</f>
        <v>#REF!</v>
      </c>
      <c r="K435" s="23">
        <v>484</v>
      </c>
      <c r="L435" s="23"/>
      <c r="M435" s="23">
        <f>-10+2423.85</f>
        <v>2413.85</v>
      </c>
      <c r="N435" s="23">
        <v>0</v>
      </c>
      <c r="O435" s="23">
        <f>+Table24[[#This Row],[FoodcostBlueline]]+Table24[[#This Row],[Pepsico]]</f>
        <v>2413.85</v>
      </c>
      <c r="P435" s="24">
        <f t="shared" si="20"/>
        <v>0.31122838414209603</v>
      </c>
      <c r="Q435" s="24"/>
      <c r="R435" s="23">
        <v>2400</v>
      </c>
      <c r="S435" s="25">
        <f t="shared" si="21"/>
        <v>0.30944264222757445</v>
      </c>
      <c r="T435" s="36"/>
      <c r="U435" s="36">
        <f>Table24[[#This Row],[WagesPercent]]+Table24[[#This Row],[FoodCostPercent]]</f>
        <v>0.62067102636967042</v>
      </c>
      <c r="V435" s="36"/>
    </row>
    <row r="436" spans="1:22" x14ac:dyDescent="0.25">
      <c r="A436" s="20">
        <v>435</v>
      </c>
      <c r="B436" s="21" t="s">
        <v>104</v>
      </c>
      <c r="C436" s="21" t="s">
        <v>102</v>
      </c>
      <c r="D436" s="6" t="s">
        <v>58</v>
      </c>
      <c r="E436" s="6">
        <v>3804001</v>
      </c>
      <c r="F436" s="6" t="s">
        <v>4</v>
      </c>
      <c r="G436" s="6" t="s">
        <v>5</v>
      </c>
      <c r="H436" s="6" t="s">
        <v>40</v>
      </c>
      <c r="I436" s="23">
        <v>27458.92</v>
      </c>
      <c r="J436" s="23">
        <v>27989.75</v>
      </c>
      <c r="K436" s="23">
        <v>1737</v>
      </c>
      <c r="L436" s="23"/>
      <c r="M436" s="23">
        <v>7701.72</v>
      </c>
      <c r="N436" s="23">
        <v>1176.74</v>
      </c>
      <c r="O436" s="23">
        <f>+Table24[[#This Row],[FoodcostBlueline]]+Table24[[#This Row],[Pepsico]]</f>
        <v>8878.4600000000009</v>
      </c>
      <c r="P436" s="24">
        <f t="shared" si="20"/>
        <v>0.32333609624850507</v>
      </c>
      <c r="Q436" s="24"/>
      <c r="R436" s="23">
        <f>4704.07+165.58+1000</f>
        <v>5869.65</v>
      </c>
      <c r="S436" s="25">
        <f t="shared" si="21"/>
        <v>0.21376113845701142</v>
      </c>
      <c r="T436" s="36"/>
      <c r="U436" s="36">
        <f>Table24[[#This Row],[WagesPercent]]+Table24[[#This Row],[FoodCostPercent]]</f>
        <v>0.53709723470551651</v>
      </c>
      <c r="V436" s="36"/>
    </row>
    <row r="437" spans="1:22" x14ac:dyDescent="0.25">
      <c r="A437" s="20">
        <v>436</v>
      </c>
      <c r="B437" s="21" t="s">
        <v>104</v>
      </c>
      <c r="C437" s="21" t="s">
        <v>102</v>
      </c>
      <c r="D437" s="6" t="s">
        <v>58</v>
      </c>
      <c r="E437" s="6">
        <v>3804002</v>
      </c>
      <c r="F437" s="6" t="s">
        <v>6</v>
      </c>
      <c r="G437" s="6" t="s">
        <v>7</v>
      </c>
      <c r="H437" s="6" t="s">
        <v>41</v>
      </c>
      <c r="I437" s="23">
        <v>13581.8</v>
      </c>
      <c r="J437" s="23">
        <v>14643.49</v>
      </c>
      <c r="K437" s="23">
        <v>1039</v>
      </c>
      <c r="L437" s="23"/>
      <c r="M437" s="23">
        <f>391.09+3560.53+112.21</f>
        <v>4063.8300000000004</v>
      </c>
      <c r="N437" s="23">
        <v>706.32</v>
      </c>
      <c r="O437" s="23">
        <f>+Table24[[#This Row],[FoodcostBlueline]]+Table24[[#This Row],[Pepsico]]</f>
        <v>4770.1500000000005</v>
      </c>
      <c r="P437" s="24">
        <f t="shared" si="20"/>
        <v>0.35121633362293664</v>
      </c>
      <c r="Q437" s="24"/>
      <c r="R437" s="23">
        <v>3039.11</v>
      </c>
      <c r="S437" s="25">
        <f t="shared" si="21"/>
        <v>0.22376341869266225</v>
      </c>
      <c r="T437" s="36"/>
      <c r="U437" s="36">
        <f>Table24[[#This Row],[WagesPercent]]+Table24[[#This Row],[FoodCostPercent]]</f>
        <v>0.57497975231559884</v>
      </c>
      <c r="V437" s="36"/>
    </row>
    <row r="438" spans="1:22" x14ac:dyDescent="0.25">
      <c r="A438" s="20">
        <v>437</v>
      </c>
      <c r="B438" s="21" t="s">
        <v>104</v>
      </c>
      <c r="C438" s="21" t="s">
        <v>102</v>
      </c>
      <c r="D438" s="6" t="s">
        <v>58</v>
      </c>
      <c r="E438" s="6">
        <v>3804003</v>
      </c>
      <c r="F438" s="6" t="s">
        <v>8</v>
      </c>
      <c r="G438" s="6" t="s">
        <v>7</v>
      </c>
      <c r="H438" s="6" t="s">
        <v>41</v>
      </c>
      <c r="I438" s="23">
        <v>11916.56</v>
      </c>
      <c r="J438" s="23">
        <v>12813.86</v>
      </c>
      <c r="K438" s="23">
        <v>768</v>
      </c>
      <c r="L438" s="23"/>
      <c r="M438" s="23">
        <v>3160.48</v>
      </c>
      <c r="N438" s="23">
        <v>278.60000000000002</v>
      </c>
      <c r="O438" s="23">
        <f>+Table24[[#This Row],[FoodcostBlueline]]+Table24[[#This Row],[Pepsico]]</f>
        <v>3439.08</v>
      </c>
      <c r="P438" s="24">
        <f t="shared" si="20"/>
        <v>0.28859670911739632</v>
      </c>
      <c r="Q438" s="24"/>
      <c r="R438" s="23">
        <v>2738.96</v>
      </c>
      <c r="S438" s="25">
        <f t="shared" si="21"/>
        <v>0.22984485455534148</v>
      </c>
      <c r="T438" s="36"/>
      <c r="U438" s="36">
        <f>Table24[[#This Row],[WagesPercent]]+Table24[[#This Row],[FoodCostPercent]]</f>
        <v>0.51844156367273775</v>
      </c>
      <c r="V438" s="36"/>
    </row>
    <row r="439" spans="1:22" x14ac:dyDescent="0.25">
      <c r="A439" s="20">
        <v>438</v>
      </c>
      <c r="B439" s="21" t="s">
        <v>104</v>
      </c>
      <c r="C439" s="21" t="s">
        <v>102</v>
      </c>
      <c r="D439" s="6" t="s">
        <v>58</v>
      </c>
      <c r="E439" s="6">
        <v>3804004</v>
      </c>
      <c r="F439" s="6" t="s">
        <v>9</v>
      </c>
      <c r="G439" s="6" t="s">
        <v>7</v>
      </c>
      <c r="H439" s="6" t="s">
        <v>41</v>
      </c>
      <c r="I439" s="23">
        <v>15784.31</v>
      </c>
      <c r="J439" s="23">
        <v>16871.47</v>
      </c>
      <c r="K439" s="23">
        <v>1052</v>
      </c>
      <c r="L439" s="23"/>
      <c r="M439" s="23">
        <f>-12.35+225.64+4227.81</f>
        <v>4441.1000000000004</v>
      </c>
      <c r="N439" s="23">
        <v>869.56</v>
      </c>
      <c r="O439" s="23">
        <f>+Table24[[#This Row],[FoodcostBlueline]]+Table24[[#This Row],[Pepsico]]</f>
        <v>5310.66</v>
      </c>
      <c r="P439" s="24">
        <f t="shared" si="20"/>
        <v>0.33645183096378617</v>
      </c>
      <c r="Q439" s="24"/>
      <c r="R439" s="23">
        <v>3633.26</v>
      </c>
      <c r="S439" s="25">
        <f t="shared" si="21"/>
        <v>0.23018174376960415</v>
      </c>
      <c r="T439" s="36"/>
      <c r="U439" s="36">
        <f>Table24[[#This Row],[WagesPercent]]+Table24[[#This Row],[FoodCostPercent]]</f>
        <v>0.56663357473339038</v>
      </c>
      <c r="V439" s="36"/>
    </row>
    <row r="440" spans="1:22" x14ac:dyDescent="0.25">
      <c r="A440" s="20">
        <v>439</v>
      </c>
      <c r="B440" s="21" t="s">
        <v>104</v>
      </c>
      <c r="C440" s="21" t="s">
        <v>102</v>
      </c>
      <c r="D440" s="6" t="s">
        <v>58</v>
      </c>
      <c r="E440" s="6">
        <v>3804005</v>
      </c>
      <c r="F440" s="6" t="s">
        <v>10</v>
      </c>
      <c r="G440" s="6" t="s">
        <v>7</v>
      </c>
      <c r="H440" s="6" t="s">
        <v>41</v>
      </c>
      <c r="I440" s="23">
        <v>13494.86</v>
      </c>
      <c r="J440" s="23">
        <v>14394.56</v>
      </c>
      <c r="K440" s="23">
        <v>891</v>
      </c>
      <c r="L440" s="23"/>
      <c r="M440" s="23">
        <f>3710.07+328.39</f>
        <v>4038.46</v>
      </c>
      <c r="N440" s="23">
        <v>0</v>
      </c>
      <c r="O440" s="23">
        <f>+Table24[[#This Row],[FoodcostBlueline]]+Table24[[#This Row],[Pepsico]]</f>
        <v>4038.46</v>
      </c>
      <c r="P440" s="24">
        <f t="shared" si="20"/>
        <v>0.29925912532623533</v>
      </c>
      <c r="Q440" s="24"/>
      <c r="R440" s="23">
        <v>2954.45</v>
      </c>
      <c r="S440" s="25">
        <f t="shared" si="21"/>
        <v>0.21893150429126346</v>
      </c>
      <c r="T440" s="36"/>
      <c r="U440" s="36">
        <f>Table24[[#This Row],[WagesPercent]]+Table24[[#This Row],[FoodCostPercent]]</f>
        <v>0.51819062961749873</v>
      </c>
      <c r="V440" s="36"/>
    </row>
    <row r="441" spans="1:22" x14ac:dyDescent="0.25">
      <c r="A441" s="20">
        <v>440</v>
      </c>
      <c r="B441" s="21" t="s">
        <v>104</v>
      </c>
      <c r="C441" s="21" t="s">
        <v>102</v>
      </c>
      <c r="D441" s="6" t="s">
        <v>58</v>
      </c>
      <c r="E441" s="6">
        <v>3804006</v>
      </c>
      <c r="F441" s="6" t="s">
        <v>11</v>
      </c>
      <c r="G441" s="6" t="s">
        <v>7</v>
      </c>
      <c r="H441" s="6" t="s">
        <v>41</v>
      </c>
      <c r="I441" s="23">
        <v>6507.19</v>
      </c>
      <c r="J441" s="23">
        <v>11377.08</v>
      </c>
      <c r="K441" s="23">
        <v>526</v>
      </c>
      <c r="L441" s="23"/>
      <c r="M441" s="23">
        <f>-47.04+2265.68+391.09</f>
        <v>2609.73</v>
      </c>
      <c r="N441" s="23">
        <v>469.77</v>
      </c>
      <c r="O441" s="23">
        <f>+Table24[[#This Row],[FoodcostBlueline]]+Table24[[#This Row],[Pepsico]]</f>
        <v>3079.5</v>
      </c>
      <c r="P441" s="24">
        <f t="shared" si="20"/>
        <v>0.47324574816472242</v>
      </c>
      <c r="Q441" s="24"/>
      <c r="R441" s="23">
        <v>1793.39</v>
      </c>
      <c r="S441" s="25">
        <f t="shared" si="21"/>
        <v>0.27560129641212261</v>
      </c>
      <c r="T441" s="36"/>
      <c r="U441" s="36">
        <f>Table24[[#This Row],[WagesPercent]]+Table24[[#This Row],[FoodCostPercent]]</f>
        <v>0.74884704457684503</v>
      </c>
      <c r="V441" s="36"/>
    </row>
    <row r="442" spans="1:22" x14ac:dyDescent="0.25">
      <c r="A442" s="20">
        <v>441</v>
      </c>
      <c r="B442" s="21" t="s">
        <v>104</v>
      </c>
      <c r="C442" s="21" t="s">
        <v>102</v>
      </c>
      <c r="D442" s="6" t="s">
        <v>58</v>
      </c>
      <c r="E442" s="6">
        <v>3804008</v>
      </c>
      <c r="F442" s="6" t="s">
        <v>12</v>
      </c>
      <c r="G442" s="6" t="s">
        <v>42</v>
      </c>
      <c r="H442" s="6" t="s">
        <v>41</v>
      </c>
      <c r="I442" s="23">
        <v>23409.77</v>
      </c>
      <c r="J442" s="23">
        <v>22415.18</v>
      </c>
      <c r="K442" s="23">
        <v>1423</v>
      </c>
      <c r="L442" s="23"/>
      <c r="M442" s="23">
        <v>6063.23</v>
      </c>
      <c r="N442" s="23">
        <v>0</v>
      </c>
      <c r="O442" s="23">
        <f>+Table24[[#This Row],[FoodcostBlueline]]+Table24[[#This Row],[Pepsico]]</f>
        <v>6063.23</v>
      </c>
      <c r="P442" s="24">
        <f t="shared" si="20"/>
        <v>0.25900425335233962</v>
      </c>
      <c r="Q442" s="24"/>
      <c r="R442" s="23">
        <f>269.52+5361</f>
        <v>5630.52</v>
      </c>
      <c r="S442" s="25">
        <f t="shared" si="21"/>
        <v>0.24052009054339279</v>
      </c>
      <c r="T442" s="36"/>
      <c r="U442" s="36">
        <f>Table24[[#This Row],[WagesPercent]]+Table24[[#This Row],[FoodCostPercent]]</f>
        <v>0.49952434389573241</v>
      </c>
      <c r="V442" s="36"/>
    </row>
    <row r="443" spans="1:22" x14ac:dyDescent="0.25">
      <c r="A443" s="20">
        <v>442</v>
      </c>
      <c r="B443" s="21" t="s">
        <v>104</v>
      </c>
      <c r="C443" s="21" t="s">
        <v>102</v>
      </c>
      <c r="D443" s="6" t="s">
        <v>58</v>
      </c>
      <c r="E443" s="6">
        <v>3804009</v>
      </c>
      <c r="F443" s="6" t="s">
        <v>13</v>
      </c>
      <c r="G443" s="6" t="s">
        <v>42</v>
      </c>
      <c r="H443" s="6" t="s">
        <v>41</v>
      </c>
      <c r="I443" s="23">
        <v>16723.86</v>
      </c>
      <c r="J443" s="23">
        <v>16052.11</v>
      </c>
      <c r="K443" s="23">
        <v>1019</v>
      </c>
      <c r="L443" s="23"/>
      <c r="M443" s="23">
        <f>-49.4+4280.61</f>
        <v>4231.21</v>
      </c>
      <c r="N443" s="23">
        <v>0</v>
      </c>
      <c r="O443" s="23">
        <f>+Table24[[#This Row],[FoodcostBlueline]]+Table24[[#This Row],[Pepsico]]</f>
        <v>4231.21</v>
      </c>
      <c r="P443" s="24">
        <f t="shared" si="20"/>
        <v>0.25300439013481335</v>
      </c>
      <c r="Q443" s="24"/>
      <c r="R443" s="23">
        <v>4520</v>
      </c>
      <c r="S443" s="25">
        <f t="shared" si="21"/>
        <v>0.27027253277652408</v>
      </c>
      <c r="T443" s="36"/>
      <c r="U443" s="36">
        <f>Table24[[#This Row],[WagesPercent]]+Table24[[#This Row],[FoodCostPercent]]</f>
        <v>0.52327692291133743</v>
      </c>
      <c r="V443" s="36"/>
    </row>
    <row r="444" spans="1:22" x14ac:dyDescent="0.25">
      <c r="A444" s="20">
        <v>443</v>
      </c>
      <c r="B444" s="21" t="s">
        <v>104</v>
      </c>
      <c r="C444" s="21" t="s">
        <v>102</v>
      </c>
      <c r="D444" s="6" t="s">
        <v>58</v>
      </c>
      <c r="E444" s="6">
        <v>3804010</v>
      </c>
      <c r="F444" s="6" t="s">
        <v>14</v>
      </c>
      <c r="G444" s="6" t="s">
        <v>42</v>
      </c>
      <c r="H444" s="6" t="s">
        <v>41</v>
      </c>
      <c r="I444" s="23">
        <v>8141.17</v>
      </c>
      <c r="J444" s="23">
        <v>9063.75</v>
      </c>
      <c r="K444" s="23">
        <v>482</v>
      </c>
      <c r="L444" s="23"/>
      <c r="M444" s="23">
        <v>2530.94</v>
      </c>
      <c r="N444" s="23">
        <v>0</v>
      </c>
      <c r="O444" s="23">
        <f>+Table24[[#This Row],[FoodcostBlueline]]+Table24[[#This Row],[Pepsico]]</f>
        <v>2530.94</v>
      </c>
      <c r="P444" s="24">
        <f t="shared" si="20"/>
        <v>0.31088160546948412</v>
      </c>
      <c r="Q444" s="24"/>
      <c r="R444" s="23">
        <v>1252</v>
      </c>
      <c r="S444" s="25">
        <f t="shared" si="21"/>
        <v>0.1537862493965855</v>
      </c>
      <c r="T444" s="36"/>
      <c r="U444" s="36">
        <f>Table24[[#This Row],[WagesPercent]]+Table24[[#This Row],[FoodCostPercent]]</f>
        <v>0.46466785486606965</v>
      </c>
      <c r="V444" s="36"/>
    </row>
    <row r="445" spans="1:22" x14ac:dyDescent="0.25">
      <c r="A445" s="20">
        <v>444</v>
      </c>
      <c r="B445" s="21" t="s">
        <v>104</v>
      </c>
      <c r="C445" s="21" t="s">
        <v>102</v>
      </c>
      <c r="D445" s="6" t="s">
        <v>58</v>
      </c>
      <c r="E445" s="6">
        <v>3804011</v>
      </c>
      <c r="F445" s="6" t="s">
        <v>15</v>
      </c>
      <c r="G445" s="6" t="s">
        <v>79</v>
      </c>
      <c r="H445" s="6" t="s">
        <v>41</v>
      </c>
      <c r="I445" s="23">
        <v>27618.01</v>
      </c>
      <c r="J445" s="23">
        <v>24139.75</v>
      </c>
      <c r="K445" s="23">
        <v>1728</v>
      </c>
      <c r="L445" s="23"/>
      <c r="M445" s="23">
        <f>-12.35+7615.53</f>
        <v>7603.1799999999994</v>
      </c>
      <c r="N445" s="23">
        <v>291.83999999999997</v>
      </c>
      <c r="O445" s="23">
        <f>+Table24[[#This Row],[FoodcostBlueline]]+Table24[[#This Row],[Pepsico]]</f>
        <v>7895.0199999999995</v>
      </c>
      <c r="P445" s="24">
        <f t="shared" si="20"/>
        <v>0.285864912062817</v>
      </c>
      <c r="Q445" s="24"/>
      <c r="R445" s="23">
        <f>2681.5+650</f>
        <v>3331.5</v>
      </c>
      <c r="S445" s="25">
        <f t="shared" si="21"/>
        <v>0.12062780772401778</v>
      </c>
      <c r="T445" s="36"/>
      <c r="U445" s="36">
        <f>Table24[[#This Row],[WagesPercent]]+Table24[[#This Row],[FoodCostPercent]]</f>
        <v>0.40649271978683477</v>
      </c>
      <c r="V445" s="36"/>
    </row>
    <row r="446" spans="1:22" x14ac:dyDescent="0.25">
      <c r="A446" s="20">
        <v>445</v>
      </c>
      <c r="B446" s="21" t="s">
        <v>104</v>
      </c>
      <c r="C446" s="21" t="s">
        <v>102</v>
      </c>
      <c r="D446" s="6" t="s">
        <v>58</v>
      </c>
      <c r="E446" s="6">
        <v>3804013</v>
      </c>
      <c r="F446" s="6" t="s">
        <v>17</v>
      </c>
      <c r="G446" s="6" t="s">
        <v>79</v>
      </c>
      <c r="H446" s="6" t="s">
        <v>41</v>
      </c>
      <c r="I446" s="23">
        <v>8965.11</v>
      </c>
      <c r="J446" s="23">
        <v>8905.14</v>
      </c>
      <c r="K446" s="23">
        <v>544</v>
      </c>
      <c r="L446" s="23"/>
      <c r="M446" s="23">
        <v>2610.75</v>
      </c>
      <c r="N446" s="23">
        <v>219.3</v>
      </c>
      <c r="O446" s="23">
        <f>+Table24[[#This Row],[FoodcostBlueline]]+Table24[[#This Row],[Pepsico]]</f>
        <v>2830.05</v>
      </c>
      <c r="P446" s="24">
        <f t="shared" si="20"/>
        <v>0.31567376195049474</v>
      </c>
      <c r="Q446" s="24"/>
      <c r="R446" s="23">
        <v>2159.16</v>
      </c>
      <c r="S446" s="25">
        <f t="shared" si="21"/>
        <v>0.24084032432396252</v>
      </c>
      <c r="T446" s="36"/>
      <c r="U446" s="36">
        <f>Table24[[#This Row],[WagesPercent]]+Table24[[#This Row],[FoodCostPercent]]</f>
        <v>0.55651408627445731</v>
      </c>
      <c r="V446" s="36"/>
    </row>
    <row r="447" spans="1:22" x14ac:dyDescent="0.25">
      <c r="A447" s="20">
        <v>446</v>
      </c>
      <c r="B447" s="21" t="s">
        <v>104</v>
      </c>
      <c r="C447" s="21" t="s">
        <v>102</v>
      </c>
      <c r="D447" s="6" t="s">
        <v>58</v>
      </c>
      <c r="E447" s="6">
        <v>3804014</v>
      </c>
      <c r="F447" s="6" t="s">
        <v>18</v>
      </c>
      <c r="G447" s="6" t="s">
        <v>79</v>
      </c>
      <c r="H447" s="6" t="s">
        <v>41</v>
      </c>
      <c r="I447" s="23">
        <v>8288.83</v>
      </c>
      <c r="J447" s="23">
        <v>7085.56</v>
      </c>
      <c r="K447" s="23">
        <v>511</v>
      </c>
      <c r="L447" s="23"/>
      <c r="M447" s="23">
        <v>2596.84</v>
      </c>
      <c r="N447" s="23">
        <v>186.43</v>
      </c>
      <c r="O447" s="23">
        <f>+Table24[[#This Row],[FoodcostBlueline]]+Table24[[#This Row],[Pepsico]]</f>
        <v>2783.27</v>
      </c>
      <c r="P447" s="24">
        <f t="shared" si="20"/>
        <v>0.33578562957618868</v>
      </c>
      <c r="Q447" s="24"/>
      <c r="R447" s="23">
        <v>2139.87</v>
      </c>
      <c r="S447" s="25">
        <f t="shared" si="21"/>
        <v>0.25816309418820266</v>
      </c>
      <c r="T447" s="36"/>
      <c r="U447" s="36">
        <f>Table24[[#This Row],[WagesPercent]]+Table24[[#This Row],[FoodCostPercent]]</f>
        <v>0.59394872376439134</v>
      </c>
      <c r="V447" s="36"/>
    </row>
    <row r="448" spans="1:22" x14ac:dyDescent="0.25">
      <c r="A448" s="20">
        <v>447</v>
      </c>
      <c r="B448" s="21" t="s">
        <v>104</v>
      </c>
      <c r="C448" s="21" t="s">
        <v>102</v>
      </c>
      <c r="D448" s="6" t="s">
        <v>58</v>
      </c>
      <c r="E448" s="6">
        <v>3804015</v>
      </c>
      <c r="F448" s="6" t="s">
        <v>19</v>
      </c>
      <c r="G448" s="6" t="s">
        <v>20</v>
      </c>
      <c r="H448" s="6" t="s">
        <v>41</v>
      </c>
      <c r="I448" s="23">
        <v>14629.71</v>
      </c>
      <c r="J448" s="23">
        <v>16415.310000000001</v>
      </c>
      <c r="K448" s="23">
        <v>946</v>
      </c>
      <c r="L448" s="23"/>
      <c r="M448" s="23">
        <f>-12.35+19.76+4554.35</f>
        <v>4561.76</v>
      </c>
      <c r="N448" s="23">
        <v>494.31</v>
      </c>
      <c r="O448" s="23">
        <f>+Table24[[#This Row],[FoodcostBlueline]]+Table24[[#This Row],[Pepsico]]</f>
        <v>5056.0700000000006</v>
      </c>
      <c r="P448" s="24">
        <f t="shared" si="20"/>
        <v>0.34560288618161267</v>
      </c>
      <c r="Q448" s="24"/>
      <c r="R448" s="23">
        <v>3622.02</v>
      </c>
      <c r="S448" s="25">
        <f t="shared" si="21"/>
        <v>0.24757975380236519</v>
      </c>
      <c r="T448" s="36"/>
      <c r="U448" s="36">
        <f>Table24[[#This Row],[WagesPercent]]+Table24[[#This Row],[FoodCostPercent]]</f>
        <v>0.59318263998397791</v>
      </c>
      <c r="V448" s="36"/>
    </row>
    <row r="449" spans="1:22" x14ac:dyDescent="0.25">
      <c r="A449" s="20">
        <v>448</v>
      </c>
      <c r="B449" s="21" t="s">
        <v>104</v>
      </c>
      <c r="C449" s="21" t="s">
        <v>102</v>
      </c>
      <c r="D449" s="6" t="s">
        <v>58</v>
      </c>
      <c r="E449" s="6">
        <v>3804016</v>
      </c>
      <c r="F449" s="6" t="s">
        <v>21</v>
      </c>
      <c r="G449" s="6" t="s">
        <v>22</v>
      </c>
      <c r="H449" s="6" t="s">
        <v>40</v>
      </c>
      <c r="I449" s="23">
        <v>13379.28</v>
      </c>
      <c r="J449" s="23">
        <v>15830.94</v>
      </c>
      <c r="K449" s="23">
        <v>777</v>
      </c>
      <c r="L449" s="23"/>
      <c r="M449" s="23">
        <v>3582.04</v>
      </c>
      <c r="N449" s="23">
        <v>416.49</v>
      </c>
      <c r="O449" s="23">
        <f>+Table24[[#This Row],[FoodcostBlueline]]+Table24[[#This Row],[Pepsico]]</f>
        <v>3998.5299999999997</v>
      </c>
      <c r="P449" s="24">
        <f t="shared" si="20"/>
        <v>0.29885987885745718</v>
      </c>
      <c r="Q449" s="24"/>
      <c r="R449" s="23">
        <v>3007.67</v>
      </c>
      <c r="S449" s="25">
        <f t="shared" si="21"/>
        <v>0.22480058717658946</v>
      </c>
      <c r="T449" s="36"/>
      <c r="U449" s="36">
        <f>Table24[[#This Row],[WagesPercent]]+Table24[[#This Row],[FoodCostPercent]]</f>
        <v>0.5236604660340467</v>
      </c>
      <c r="V449" s="36"/>
    </row>
    <row r="450" spans="1:22" x14ac:dyDescent="0.25">
      <c r="A450" s="20">
        <v>449</v>
      </c>
      <c r="B450" s="21" t="s">
        <v>104</v>
      </c>
      <c r="C450" s="21" t="s">
        <v>102</v>
      </c>
      <c r="D450" s="6" t="s">
        <v>58</v>
      </c>
      <c r="E450" s="6">
        <v>3804017</v>
      </c>
      <c r="F450" s="6" t="s">
        <v>23</v>
      </c>
      <c r="G450" s="6" t="s">
        <v>22</v>
      </c>
      <c r="H450" s="6" t="s">
        <v>40</v>
      </c>
      <c r="I450" s="23">
        <v>16357.63</v>
      </c>
      <c r="J450" s="23">
        <v>19086.060000000001</v>
      </c>
      <c r="K450" s="23">
        <v>1047</v>
      </c>
      <c r="L450" s="23"/>
      <c r="M450" s="23">
        <v>5107.4399999999996</v>
      </c>
      <c r="N450" s="23">
        <v>717.1</v>
      </c>
      <c r="O450" s="23">
        <f>+Table24[[#This Row],[FoodcostBlueline]]+Table24[[#This Row],[Pepsico]]</f>
        <v>5824.54</v>
      </c>
      <c r="P450" s="24">
        <f t="shared" ref="P450:P513" si="22">IFERROR(((M450+N450)/I450),0)</f>
        <v>0.35607481034844291</v>
      </c>
      <c r="Q450" s="24"/>
      <c r="R450" s="23">
        <v>3697.05</v>
      </c>
      <c r="S450" s="25">
        <f t="shared" ref="S450:S513" si="23">+R450/I450</f>
        <v>0.22601379295166846</v>
      </c>
      <c r="T450" s="36"/>
      <c r="U450" s="36">
        <f>Table24[[#This Row],[WagesPercent]]+Table24[[#This Row],[FoodCostPercent]]</f>
        <v>0.58208860330011136</v>
      </c>
      <c r="V450" s="36"/>
    </row>
    <row r="451" spans="1:22" x14ac:dyDescent="0.25">
      <c r="A451" s="20">
        <v>450</v>
      </c>
      <c r="B451" s="21" t="s">
        <v>104</v>
      </c>
      <c r="C451" s="21" t="s">
        <v>102</v>
      </c>
      <c r="D451" s="6" t="s">
        <v>58</v>
      </c>
      <c r="E451" s="6">
        <v>3804018</v>
      </c>
      <c r="F451" s="6" t="s">
        <v>24</v>
      </c>
      <c r="G451" s="6" t="s">
        <v>20</v>
      </c>
      <c r="H451" s="6" t="s">
        <v>41</v>
      </c>
      <c r="I451" s="23">
        <v>20228.93</v>
      </c>
      <c r="J451" s="23">
        <v>18853.650000000001</v>
      </c>
      <c r="K451" s="23">
        <v>1214</v>
      </c>
      <c r="L451" s="23"/>
      <c r="M451" s="23">
        <v>5489.26</v>
      </c>
      <c r="N451" s="23">
        <v>554.95000000000005</v>
      </c>
      <c r="O451" s="23">
        <f>+Table24[[#This Row],[FoodcostBlueline]]+Table24[[#This Row],[Pepsico]]</f>
        <v>6044.21</v>
      </c>
      <c r="P451" s="24">
        <f t="shared" si="22"/>
        <v>0.29879039573521682</v>
      </c>
      <c r="Q451" s="24"/>
      <c r="R451" s="23">
        <v>4337.45</v>
      </c>
      <c r="S451" s="25">
        <f t="shared" si="23"/>
        <v>0.21441816250291043</v>
      </c>
      <c r="T451" s="36"/>
      <c r="U451" s="36">
        <f>Table24[[#This Row],[WagesPercent]]+Table24[[#This Row],[FoodCostPercent]]</f>
        <v>0.51320855823812728</v>
      </c>
      <c r="V451" s="36"/>
    </row>
    <row r="452" spans="1:22" x14ac:dyDescent="0.25">
      <c r="A452" s="20">
        <v>451</v>
      </c>
      <c r="B452" s="21" t="s">
        <v>104</v>
      </c>
      <c r="C452" s="21" t="s">
        <v>102</v>
      </c>
      <c r="D452" s="6" t="s">
        <v>58</v>
      </c>
      <c r="E452" s="6">
        <v>3804019</v>
      </c>
      <c r="F452" s="6" t="s">
        <v>25</v>
      </c>
      <c r="G452" s="6" t="s">
        <v>20</v>
      </c>
      <c r="H452" s="6" t="s">
        <v>41</v>
      </c>
      <c r="I452" s="23">
        <v>12107.07</v>
      </c>
      <c r="J452" s="23">
        <v>13521.67</v>
      </c>
      <c r="K452" s="23">
        <v>769</v>
      </c>
      <c r="L452" s="23"/>
      <c r="M452" s="23">
        <v>3606.25</v>
      </c>
      <c r="N452" s="23">
        <v>429.76</v>
      </c>
      <c r="O452" s="23">
        <f>+Table24[[#This Row],[FoodcostBlueline]]+Table24[[#This Row],[Pepsico]]</f>
        <v>4036.01</v>
      </c>
      <c r="P452" s="24">
        <f t="shared" si="22"/>
        <v>0.33335976417085228</v>
      </c>
      <c r="Q452" s="24"/>
      <c r="R452" s="23">
        <f>2950.01+60</f>
        <v>3010.01</v>
      </c>
      <c r="S452" s="25">
        <f t="shared" si="23"/>
        <v>0.24861589137586554</v>
      </c>
      <c r="T452" s="36"/>
      <c r="U452" s="36">
        <f>Table24[[#This Row],[WagesPercent]]+Table24[[#This Row],[FoodCostPercent]]</f>
        <v>0.58197565554671782</v>
      </c>
      <c r="V452" s="36"/>
    </row>
    <row r="453" spans="1:22" x14ac:dyDescent="0.25">
      <c r="A453" s="20">
        <v>452</v>
      </c>
      <c r="B453" s="21" t="s">
        <v>104</v>
      </c>
      <c r="C453" s="21" t="s">
        <v>102</v>
      </c>
      <c r="D453" s="6" t="s">
        <v>58</v>
      </c>
      <c r="E453" s="6">
        <v>3804020</v>
      </c>
      <c r="F453" s="6" t="s">
        <v>26</v>
      </c>
      <c r="G453" s="6" t="s">
        <v>22</v>
      </c>
      <c r="H453" s="6" t="s">
        <v>40</v>
      </c>
      <c r="I453" s="23">
        <v>12387.68</v>
      </c>
      <c r="J453" s="23">
        <v>12694.26</v>
      </c>
      <c r="K453" s="23">
        <v>717</v>
      </c>
      <c r="L453" s="23"/>
      <c r="M453" s="23">
        <f>-12.35+3128.08</f>
        <v>3115.73</v>
      </c>
      <c r="N453" s="23">
        <v>230.21</v>
      </c>
      <c r="O453" s="23">
        <f>+Table24[[#This Row],[FoodcostBlueline]]+Table24[[#This Row],[Pepsico]]</f>
        <v>3345.94</v>
      </c>
      <c r="P453" s="24">
        <f t="shared" si="22"/>
        <v>0.27010223060330907</v>
      </c>
      <c r="Q453" s="24"/>
      <c r="R453" s="23">
        <v>2751.54</v>
      </c>
      <c r="S453" s="25">
        <f t="shared" si="23"/>
        <v>0.22211907314363949</v>
      </c>
      <c r="T453" s="36"/>
      <c r="U453" s="36">
        <f>Table24[[#This Row],[WagesPercent]]+Table24[[#This Row],[FoodCostPercent]]</f>
        <v>0.49222130374694856</v>
      </c>
      <c r="V453" s="36"/>
    </row>
    <row r="454" spans="1:22" x14ac:dyDescent="0.25">
      <c r="A454" s="20">
        <v>453</v>
      </c>
      <c r="B454" s="21" t="s">
        <v>104</v>
      </c>
      <c r="C454" s="21" t="s">
        <v>102</v>
      </c>
      <c r="D454" s="6" t="s">
        <v>58</v>
      </c>
      <c r="E454" s="6">
        <v>3804021</v>
      </c>
      <c r="F454" s="6" t="s">
        <v>27</v>
      </c>
      <c r="G454" s="6" t="s">
        <v>22</v>
      </c>
      <c r="H454" s="6" t="s">
        <v>40</v>
      </c>
      <c r="I454" s="23">
        <v>20506.02</v>
      </c>
      <c r="J454" s="23">
        <v>27202.639999999999</v>
      </c>
      <c r="K454" s="23">
        <v>1211</v>
      </c>
      <c r="L454" s="23"/>
      <c r="M454" s="23">
        <v>6847.22</v>
      </c>
      <c r="N454" s="23">
        <v>523.54</v>
      </c>
      <c r="O454" s="23">
        <f>+Table24[[#This Row],[FoodcostBlueline]]+Table24[[#This Row],[Pepsico]]</f>
        <v>7370.76</v>
      </c>
      <c r="P454" s="24">
        <f t="shared" si="22"/>
        <v>0.35944371457747532</v>
      </c>
      <c r="Q454" s="24"/>
      <c r="R454" s="23">
        <v>4427.37</v>
      </c>
      <c r="S454" s="25">
        <f t="shared" si="23"/>
        <v>0.21590586569212358</v>
      </c>
      <c r="T454" s="36"/>
      <c r="U454" s="36">
        <f>Table24[[#This Row],[WagesPercent]]+Table24[[#This Row],[FoodCostPercent]]</f>
        <v>0.57534958026959893</v>
      </c>
      <c r="V454" s="36"/>
    </row>
    <row r="455" spans="1:22" x14ac:dyDescent="0.25">
      <c r="A455" s="20">
        <v>454</v>
      </c>
      <c r="B455" s="21" t="s">
        <v>104</v>
      </c>
      <c r="C455" s="21" t="s">
        <v>102</v>
      </c>
      <c r="D455" s="6" t="s">
        <v>58</v>
      </c>
      <c r="E455" s="6">
        <v>3804022</v>
      </c>
      <c r="F455" s="6" t="s">
        <v>28</v>
      </c>
      <c r="G455" s="6" t="s">
        <v>22</v>
      </c>
      <c r="H455" s="6" t="s">
        <v>40</v>
      </c>
      <c r="I455" s="23">
        <v>12959.9</v>
      </c>
      <c r="J455" s="23">
        <v>14645.22</v>
      </c>
      <c r="K455" s="23">
        <v>745</v>
      </c>
      <c r="L455" s="23"/>
      <c r="M455" s="23">
        <v>3357.04</v>
      </c>
      <c r="N455" s="23">
        <v>380.98</v>
      </c>
      <c r="O455" s="23">
        <f>+Table24[[#This Row],[FoodcostBlueline]]+Table24[[#This Row],[Pepsico]]</f>
        <v>3738.02</v>
      </c>
      <c r="P455" s="24">
        <f t="shared" si="22"/>
        <v>0.28842969467356999</v>
      </c>
      <c r="Q455" s="24"/>
      <c r="R455" s="23">
        <v>3533.5</v>
      </c>
      <c r="S455" s="25">
        <f t="shared" si="23"/>
        <v>0.27264870870917213</v>
      </c>
      <c r="T455" s="36"/>
      <c r="U455" s="36">
        <f>Table24[[#This Row],[WagesPercent]]+Table24[[#This Row],[FoodCostPercent]]</f>
        <v>0.56107840338274206</v>
      </c>
      <c r="V455" s="36"/>
    </row>
    <row r="456" spans="1:22" x14ac:dyDescent="0.25">
      <c r="A456" s="20">
        <v>455</v>
      </c>
      <c r="B456" s="21" t="s">
        <v>104</v>
      </c>
      <c r="C456" s="21" t="s">
        <v>102</v>
      </c>
      <c r="D456" s="6" t="s">
        <v>58</v>
      </c>
      <c r="E456" s="6">
        <v>3804023</v>
      </c>
      <c r="F456" s="6" t="s">
        <v>29</v>
      </c>
      <c r="G456" s="6" t="s">
        <v>22</v>
      </c>
      <c r="H456" s="6" t="s">
        <v>40</v>
      </c>
      <c r="I456" s="23">
        <v>14287.83</v>
      </c>
      <c r="J456" s="23">
        <v>17382.310000000001</v>
      </c>
      <c r="K456" s="23">
        <v>909</v>
      </c>
      <c r="L456" s="23"/>
      <c r="M456" s="23">
        <f>-12.35+5707.87</f>
        <v>5695.5199999999995</v>
      </c>
      <c r="N456" s="23">
        <v>0</v>
      </c>
      <c r="O456" s="23">
        <f>+Table24[[#This Row],[FoodcostBlueline]]+Table24[[#This Row],[Pepsico]]</f>
        <v>5695.5199999999995</v>
      </c>
      <c r="P456" s="24">
        <f t="shared" si="22"/>
        <v>0.39862736328749709</v>
      </c>
      <c r="Q456" s="24"/>
      <c r="R456" s="23">
        <v>2347.98</v>
      </c>
      <c r="S456" s="25">
        <f t="shared" si="23"/>
        <v>0.16433426209578361</v>
      </c>
      <c r="T456" s="36"/>
      <c r="U456" s="36">
        <f>Table24[[#This Row],[WagesPercent]]+Table24[[#This Row],[FoodCostPercent]]</f>
        <v>0.56296162538328076</v>
      </c>
      <c r="V456" s="36"/>
    </row>
    <row r="457" spans="1:22" x14ac:dyDescent="0.25">
      <c r="A457" s="20">
        <v>456</v>
      </c>
      <c r="B457" s="21" t="s">
        <v>104</v>
      </c>
      <c r="C457" s="21" t="s">
        <v>102</v>
      </c>
      <c r="D457" s="6" t="s">
        <v>58</v>
      </c>
      <c r="E457" s="6">
        <v>3804024</v>
      </c>
      <c r="F457" s="6" t="s">
        <v>30</v>
      </c>
      <c r="G457" s="6" t="s">
        <v>20</v>
      </c>
      <c r="H457" s="6" t="s">
        <v>41</v>
      </c>
      <c r="I457" s="23">
        <v>10755.22</v>
      </c>
      <c r="J457" s="23">
        <v>15240.45</v>
      </c>
      <c r="K457" s="23">
        <v>682</v>
      </c>
      <c r="L457" s="23"/>
      <c r="M457" s="23">
        <v>3938.38</v>
      </c>
      <c r="N457" s="23">
        <v>167.42</v>
      </c>
      <c r="O457" s="23">
        <f>+Table24[[#This Row],[FoodcostBlueline]]+Table24[[#This Row],[Pepsico]]</f>
        <v>4105.8</v>
      </c>
      <c r="P457" s="24">
        <f t="shared" si="22"/>
        <v>0.38174951325960793</v>
      </c>
      <c r="Q457" s="24"/>
      <c r="R457" s="23">
        <f>3390.67+63.23</f>
        <v>3453.9</v>
      </c>
      <c r="S457" s="25">
        <f t="shared" si="23"/>
        <v>0.32113708506195132</v>
      </c>
      <c r="T457" s="36"/>
      <c r="U457" s="36">
        <f>Table24[[#This Row],[WagesPercent]]+Table24[[#This Row],[FoodCostPercent]]</f>
        <v>0.70288659832155931</v>
      </c>
      <c r="V457" s="36"/>
    </row>
    <row r="458" spans="1:22" x14ac:dyDescent="0.25">
      <c r="A458" s="20">
        <v>457</v>
      </c>
      <c r="B458" s="21" t="s">
        <v>104</v>
      </c>
      <c r="C458" s="21" t="s">
        <v>102</v>
      </c>
      <c r="D458" s="6" t="s">
        <v>58</v>
      </c>
      <c r="E458" s="6">
        <v>3804025</v>
      </c>
      <c r="F458" s="6" t="s">
        <v>31</v>
      </c>
      <c r="G458" s="6" t="s">
        <v>20</v>
      </c>
      <c r="H458" s="6" t="s">
        <v>41</v>
      </c>
      <c r="I458" s="23">
        <v>24131.78</v>
      </c>
      <c r="J458" s="23">
        <v>26389.4</v>
      </c>
      <c r="K458" s="23">
        <v>1486</v>
      </c>
      <c r="L458" s="23"/>
      <c r="M458" s="23">
        <v>7529.81</v>
      </c>
      <c r="N458" s="23">
        <v>290.31</v>
      </c>
      <c r="O458" s="23">
        <f>+Table24[[#This Row],[FoodcostBlueline]]+Table24[[#This Row],[Pepsico]]</f>
        <v>7820.1200000000008</v>
      </c>
      <c r="P458" s="24">
        <f t="shared" si="22"/>
        <v>0.32405897948680129</v>
      </c>
      <c r="Q458" s="24"/>
      <c r="R458" s="23">
        <v>5715.8</v>
      </c>
      <c r="S458" s="25">
        <f t="shared" si="23"/>
        <v>0.2368577867028458</v>
      </c>
      <c r="T458" s="36"/>
      <c r="U458" s="36">
        <f>Table24[[#This Row],[WagesPercent]]+Table24[[#This Row],[FoodCostPercent]]</f>
        <v>0.56091676618964703</v>
      </c>
      <c r="V458" s="36"/>
    </row>
    <row r="459" spans="1:22" x14ac:dyDescent="0.25">
      <c r="A459" s="20">
        <v>458</v>
      </c>
      <c r="B459" s="21" t="s">
        <v>104</v>
      </c>
      <c r="C459" s="21" t="s">
        <v>102</v>
      </c>
      <c r="D459" s="6" t="s">
        <v>58</v>
      </c>
      <c r="E459" s="6">
        <v>3804026</v>
      </c>
      <c r="F459" s="6" t="s">
        <v>32</v>
      </c>
      <c r="G459" s="6" t="s">
        <v>79</v>
      </c>
      <c r="H459" s="6" t="s">
        <v>41</v>
      </c>
      <c r="I459" s="23">
        <v>13730.53</v>
      </c>
      <c r="J459" s="23">
        <v>12963.36</v>
      </c>
      <c r="K459" s="23">
        <v>824</v>
      </c>
      <c r="L459" s="23"/>
      <c r="M459" s="23">
        <v>3765.33</v>
      </c>
      <c r="N459" s="23">
        <v>266.98</v>
      </c>
      <c r="O459" s="23">
        <f>+Table24[[#This Row],[FoodcostBlueline]]+Table24[[#This Row],[Pepsico]]</f>
        <v>4032.31</v>
      </c>
      <c r="P459" s="24">
        <f t="shared" si="22"/>
        <v>0.29367475254050646</v>
      </c>
      <c r="Q459" s="24"/>
      <c r="R459" s="23">
        <v>3617.67</v>
      </c>
      <c r="S459" s="25">
        <f t="shared" si="23"/>
        <v>0.26347635524630147</v>
      </c>
      <c r="T459" s="36"/>
      <c r="U459" s="36">
        <f>Table24[[#This Row],[WagesPercent]]+Table24[[#This Row],[FoodCostPercent]]</f>
        <v>0.55715110778680788</v>
      </c>
      <c r="V459" s="36"/>
    </row>
    <row r="460" spans="1:22" x14ac:dyDescent="0.25">
      <c r="A460" s="20">
        <v>459</v>
      </c>
      <c r="B460" s="21" t="s">
        <v>104</v>
      </c>
      <c r="C460" s="21" t="s">
        <v>102</v>
      </c>
      <c r="D460" s="6" t="s">
        <v>58</v>
      </c>
      <c r="E460" s="6">
        <v>3804027</v>
      </c>
      <c r="F460" s="6" t="s">
        <v>33</v>
      </c>
      <c r="G460" s="6" t="s">
        <v>43</v>
      </c>
      <c r="H460" s="6" t="s">
        <v>41</v>
      </c>
      <c r="I460" s="23">
        <v>18292.25</v>
      </c>
      <c r="J460" s="23">
        <v>15784.21</v>
      </c>
      <c r="K460" s="23">
        <v>1287</v>
      </c>
      <c r="L460" s="23"/>
      <c r="M460" s="23">
        <f>-107.1+5695.15-181.54-168.57</f>
        <v>5237.9399999999996</v>
      </c>
      <c r="N460" s="23">
        <v>0</v>
      </c>
      <c r="O460" s="23">
        <f>+Table24[[#This Row],[FoodcostBlueline]]+Table24[[#This Row],[Pepsico]]</f>
        <v>5237.9399999999996</v>
      </c>
      <c r="P460" s="24">
        <f t="shared" si="22"/>
        <v>0.28634749689075972</v>
      </c>
      <c r="Q460" s="24"/>
      <c r="R460" s="23">
        <f>1747.25+1600</f>
        <v>3347.25</v>
      </c>
      <c r="S460" s="25">
        <f t="shared" si="23"/>
        <v>0.18298733070015991</v>
      </c>
      <c r="T460" s="36"/>
      <c r="U460" s="36">
        <f>Table24[[#This Row],[WagesPercent]]+Table24[[#This Row],[FoodCostPercent]]</f>
        <v>0.4693348275909196</v>
      </c>
      <c r="V460" s="36"/>
    </row>
    <row r="461" spans="1:22" x14ac:dyDescent="0.25">
      <c r="A461" s="20">
        <v>460</v>
      </c>
      <c r="B461" s="21" t="s">
        <v>104</v>
      </c>
      <c r="C461" s="21" t="s">
        <v>102</v>
      </c>
      <c r="D461" s="6" t="s">
        <v>58</v>
      </c>
      <c r="E461" s="6">
        <v>3804029</v>
      </c>
      <c r="F461" s="6" t="s">
        <v>34</v>
      </c>
      <c r="G461" s="6" t="s">
        <v>79</v>
      </c>
      <c r="H461" s="6" t="s">
        <v>41</v>
      </c>
      <c r="I461" s="23">
        <v>5117.2</v>
      </c>
      <c r="J461" s="23">
        <v>10625.84</v>
      </c>
      <c r="K461" s="23">
        <v>336</v>
      </c>
      <c r="L461" s="23"/>
      <c r="M461" s="23">
        <f>103.32+3274.24-212.87</f>
        <v>3164.69</v>
      </c>
      <c r="N461" s="23">
        <v>269.08999999999997</v>
      </c>
      <c r="O461" s="23">
        <f>+Table24[[#This Row],[FoodcostBlueline]]+Table24[[#This Row],[Pepsico]]</f>
        <v>3433.78</v>
      </c>
      <c r="P461" s="24">
        <f t="shared" si="22"/>
        <v>0.6710271242085516</v>
      </c>
      <c r="Q461" s="24"/>
      <c r="R461" s="23">
        <v>490.27</v>
      </c>
      <c r="S461" s="25">
        <f t="shared" si="23"/>
        <v>9.5808254514187452E-2</v>
      </c>
      <c r="T461" s="36"/>
      <c r="U461" s="36">
        <f>Table24[[#This Row],[WagesPercent]]+Table24[[#This Row],[FoodCostPercent]]</f>
        <v>0.7668353787227391</v>
      </c>
      <c r="V461" s="36"/>
    </row>
    <row r="462" spans="1:22" x14ac:dyDescent="0.25">
      <c r="A462" s="20">
        <v>461</v>
      </c>
      <c r="B462" s="21" t="s">
        <v>104</v>
      </c>
      <c r="C462" s="21" t="s">
        <v>102</v>
      </c>
      <c r="D462" s="6" t="s">
        <v>58</v>
      </c>
      <c r="E462" s="6">
        <v>3804030</v>
      </c>
      <c r="F462" s="6" t="s">
        <v>35</v>
      </c>
      <c r="G462" s="6" t="s">
        <v>5</v>
      </c>
      <c r="H462" s="6" t="s">
        <v>40</v>
      </c>
      <c r="I462" s="23">
        <v>10214.31</v>
      </c>
      <c r="J462" s="23">
        <v>10017.790000000001</v>
      </c>
      <c r="K462" s="23">
        <v>584</v>
      </c>
      <c r="L462" s="23"/>
      <c r="M462" s="23">
        <v>2770.48</v>
      </c>
      <c r="N462" s="23">
        <v>426.71</v>
      </c>
      <c r="O462" s="23">
        <f>+Table24[[#This Row],[FoodcostBlueline]]+Table24[[#This Row],[Pepsico]]</f>
        <v>3197.19</v>
      </c>
      <c r="P462" s="24">
        <f t="shared" si="22"/>
        <v>0.31301086416997331</v>
      </c>
      <c r="Q462" s="24"/>
      <c r="R462" s="23">
        <v>2588.52</v>
      </c>
      <c r="S462" s="25">
        <f t="shared" si="23"/>
        <v>0.25342093592225029</v>
      </c>
      <c r="T462" s="36"/>
      <c r="U462" s="36">
        <f>Table24[[#This Row],[WagesPercent]]+Table24[[#This Row],[FoodCostPercent]]</f>
        <v>0.5664318000922236</v>
      </c>
      <c r="V462" s="36"/>
    </row>
    <row r="463" spans="1:22" x14ac:dyDescent="0.25">
      <c r="A463" s="20">
        <v>462</v>
      </c>
      <c r="B463" s="21" t="s">
        <v>104</v>
      </c>
      <c r="C463" s="21" t="s">
        <v>102</v>
      </c>
      <c r="D463" s="6" t="s">
        <v>58</v>
      </c>
      <c r="E463" s="6">
        <v>3804031</v>
      </c>
      <c r="F463" s="6" t="s">
        <v>36</v>
      </c>
      <c r="G463" s="6" t="s">
        <v>5</v>
      </c>
      <c r="H463" s="6" t="s">
        <v>40</v>
      </c>
      <c r="I463" s="23">
        <v>10415.18</v>
      </c>
      <c r="J463" s="23">
        <v>9759.2800000000007</v>
      </c>
      <c r="K463" s="23">
        <v>665</v>
      </c>
      <c r="L463" s="23"/>
      <c r="M463" s="23">
        <v>2946.57</v>
      </c>
      <c r="N463" s="23">
        <v>511.35</v>
      </c>
      <c r="O463" s="23">
        <f>+Table24[[#This Row],[FoodcostBlueline]]+Table24[[#This Row],[Pepsico]]</f>
        <v>3457.92</v>
      </c>
      <c r="P463" s="24">
        <f t="shared" si="22"/>
        <v>0.33200770413953479</v>
      </c>
      <c r="Q463" s="24"/>
      <c r="R463" s="37">
        <f>2373.19+720</f>
        <v>3093.19</v>
      </c>
      <c r="S463" s="25">
        <f t="shared" si="23"/>
        <v>0.29698862621673366</v>
      </c>
      <c r="T463" s="36"/>
      <c r="U463" s="36">
        <f>Table24[[#This Row],[WagesPercent]]+Table24[[#This Row],[FoodCostPercent]]</f>
        <v>0.62899633035626845</v>
      </c>
      <c r="V463" s="36"/>
    </row>
    <row r="464" spans="1:22" x14ac:dyDescent="0.25">
      <c r="A464" s="20">
        <v>463</v>
      </c>
      <c r="B464" s="21" t="s">
        <v>104</v>
      </c>
      <c r="C464" s="21" t="s">
        <v>102</v>
      </c>
      <c r="D464" s="6" t="s">
        <v>58</v>
      </c>
      <c r="E464" s="6">
        <v>3804032</v>
      </c>
      <c r="F464" s="6" t="s">
        <v>37</v>
      </c>
      <c r="G464" s="6" t="s">
        <v>5</v>
      </c>
      <c r="H464" s="6" t="s">
        <v>40</v>
      </c>
      <c r="I464" s="23">
        <v>10443.19</v>
      </c>
      <c r="J464" s="23">
        <v>5233.78</v>
      </c>
      <c r="K464" s="23">
        <v>629</v>
      </c>
      <c r="L464" s="23"/>
      <c r="M464" s="23">
        <f>-12.35+2693.75</f>
        <v>2681.4</v>
      </c>
      <c r="N464" s="23">
        <v>169.46</v>
      </c>
      <c r="O464" s="23">
        <f>+Table24[[#This Row],[FoodcostBlueline]]+Table24[[#This Row],[Pepsico]]</f>
        <v>2850.86</v>
      </c>
      <c r="P464" s="24">
        <f t="shared" si="22"/>
        <v>0.27298746838849047</v>
      </c>
      <c r="Q464" s="24"/>
      <c r="R464" s="23">
        <f>1350+850+200</f>
        <v>2400</v>
      </c>
      <c r="S464" s="25">
        <f t="shared" si="23"/>
        <v>0.22981483627129257</v>
      </c>
      <c r="T464" s="36"/>
      <c r="U464" s="36">
        <f>Table24[[#This Row],[WagesPercent]]+Table24[[#This Row],[FoodCostPercent]]</f>
        <v>0.50280230465978304</v>
      </c>
      <c r="V464" s="36"/>
    </row>
    <row r="465" spans="1:22" x14ac:dyDescent="0.25">
      <c r="A465" s="20">
        <v>464</v>
      </c>
      <c r="B465" s="21" t="s">
        <v>104</v>
      </c>
      <c r="C465" s="21" t="s">
        <v>102</v>
      </c>
      <c r="D465" s="6" t="s">
        <v>58</v>
      </c>
      <c r="E465" s="6">
        <v>3804033</v>
      </c>
      <c r="F465" s="6" t="s">
        <v>38</v>
      </c>
      <c r="G465" s="6" t="s">
        <v>5</v>
      </c>
      <c r="H465" s="6" t="s">
        <v>40</v>
      </c>
      <c r="I465" s="23">
        <v>7982.2</v>
      </c>
      <c r="J465" s="23">
        <v>9326.94</v>
      </c>
      <c r="K465" s="23">
        <v>598</v>
      </c>
      <c r="L465" s="23"/>
      <c r="M465" s="23">
        <v>2247.63</v>
      </c>
      <c r="N465" s="23">
        <v>287.41000000000003</v>
      </c>
      <c r="O465" s="23">
        <f>+Table24[[#This Row],[FoodcostBlueline]]+Table24[[#This Row],[Pepsico]]</f>
        <v>2535.04</v>
      </c>
      <c r="P465" s="24">
        <f t="shared" si="22"/>
        <v>0.31758663025231137</v>
      </c>
      <c r="Q465" s="24"/>
      <c r="R465" s="23">
        <f>1350+850+165.58</f>
        <v>2365.58</v>
      </c>
      <c r="S465" s="25">
        <f t="shared" si="23"/>
        <v>0.29635689408934879</v>
      </c>
      <c r="T465" s="36"/>
      <c r="U465" s="36">
        <f>Table24[[#This Row],[WagesPercent]]+Table24[[#This Row],[FoodCostPercent]]</f>
        <v>0.61394352434166022</v>
      </c>
      <c r="V465" s="36"/>
    </row>
    <row r="466" spans="1:22" x14ac:dyDescent="0.25">
      <c r="A466" s="20">
        <v>465</v>
      </c>
      <c r="B466" s="21" t="s">
        <v>104</v>
      </c>
      <c r="C466" s="21" t="s">
        <v>102</v>
      </c>
      <c r="D466" s="6" t="s">
        <v>58</v>
      </c>
      <c r="E466" s="6">
        <v>3804034</v>
      </c>
      <c r="F466" s="6" t="s">
        <v>53</v>
      </c>
      <c r="G466" s="6" t="s">
        <v>79</v>
      </c>
      <c r="H466" s="6" t="s">
        <v>41</v>
      </c>
      <c r="I466" s="23">
        <v>9299.1</v>
      </c>
      <c r="J466" s="23">
        <v>12935.93</v>
      </c>
      <c r="K466" s="23">
        <v>533</v>
      </c>
      <c r="L466" s="23"/>
      <c r="M466" s="23">
        <f>-12.35+2271.74</f>
        <v>2259.39</v>
      </c>
      <c r="N466" s="23">
        <v>0</v>
      </c>
      <c r="O466" s="23">
        <f>+Table24[[#This Row],[FoodcostBlueline]]+Table24[[#This Row],[Pepsico]]</f>
        <v>2259.39</v>
      </c>
      <c r="P466" s="24">
        <f t="shared" si="22"/>
        <v>0.24296867438784397</v>
      </c>
      <c r="Q466" s="24"/>
      <c r="R466" s="23">
        <v>2400</v>
      </c>
      <c r="S466" s="25">
        <f t="shared" si="23"/>
        <v>0.25808949253153529</v>
      </c>
      <c r="T466" s="36"/>
      <c r="U466" s="36">
        <f>Table24[[#This Row],[WagesPercent]]+Table24[[#This Row],[FoodCostPercent]]</f>
        <v>0.50105816691937921</v>
      </c>
      <c r="V466" s="36"/>
    </row>
    <row r="467" spans="1:22" x14ac:dyDescent="0.25">
      <c r="A467" s="20">
        <v>466</v>
      </c>
      <c r="B467" s="21" t="s">
        <v>105</v>
      </c>
      <c r="C467" s="21" t="s">
        <v>102</v>
      </c>
      <c r="D467" s="6" t="s">
        <v>59</v>
      </c>
      <c r="E467" s="6">
        <v>3804001</v>
      </c>
      <c r="F467" s="6" t="s">
        <v>4</v>
      </c>
      <c r="G467" s="6" t="s">
        <v>5</v>
      </c>
      <c r="H467" s="6" t="s">
        <v>40</v>
      </c>
      <c r="I467" s="23">
        <v>30659.27</v>
      </c>
      <c r="J467" s="23">
        <v>28829.81</v>
      </c>
      <c r="K467" s="23">
        <v>2047</v>
      </c>
      <c r="L467" s="23"/>
      <c r="M467" s="23">
        <f>7740.17+207.86-129</f>
        <v>7819.03</v>
      </c>
      <c r="N467" s="23">
        <v>0</v>
      </c>
      <c r="O467" s="23">
        <f>+Table24[[#This Row],[FoodcostBlueline]]+Table24[[#This Row],[Pepsico]]</f>
        <v>7819.03</v>
      </c>
      <c r="P467" s="24">
        <f t="shared" si="22"/>
        <v>0.2550298816638491</v>
      </c>
      <c r="Q467" s="24"/>
      <c r="R467" s="23">
        <f>4684.31+165.58+2300</f>
        <v>7149.89</v>
      </c>
      <c r="S467" s="25">
        <f t="shared" si="23"/>
        <v>0.23320483494877733</v>
      </c>
      <c r="T467" s="36"/>
      <c r="U467" s="36">
        <f>Table24[[#This Row],[WagesPercent]]+Table24[[#This Row],[FoodCostPercent]]</f>
        <v>0.48823471661262641</v>
      </c>
      <c r="V467" s="36"/>
    </row>
    <row r="468" spans="1:22" x14ac:dyDescent="0.25">
      <c r="A468" s="20">
        <v>467</v>
      </c>
      <c r="B468" s="21" t="s">
        <v>105</v>
      </c>
      <c r="C468" s="21" t="s">
        <v>102</v>
      </c>
      <c r="D468" s="6" t="s">
        <v>59</v>
      </c>
      <c r="E468" s="6">
        <v>3804002</v>
      </c>
      <c r="F468" s="6" t="s">
        <v>6</v>
      </c>
      <c r="G468" s="6" t="s">
        <v>7</v>
      </c>
      <c r="H468" s="6" t="s">
        <v>41</v>
      </c>
      <c r="I468" s="23">
        <v>13432.21</v>
      </c>
      <c r="J468" s="23">
        <v>16048.02</v>
      </c>
      <c r="K468" s="23">
        <v>1076</v>
      </c>
      <c r="L468" s="23"/>
      <c r="M468" s="23">
        <f>490.73-105+3480.2</f>
        <v>3865.93</v>
      </c>
      <c r="N468" s="23">
        <v>308.13</v>
      </c>
      <c r="O468" s="23">
        <f>+Table24[[#This Row],[FoodcostBlueline]]+Table24[[#This Row],[Pepsico]]</f>
        <v>4174.0599999999995</v>
      </c>
      <c r="P468" s="24">
        <f t="shared" si="22"/>
        <v>0.31075005527757532</v>
      </c>
      <c r="Q468" s="24"/>
      <c r="R468" s="23">
        <v>2860.25</v>
      </c>
      <c r="S468" s="25">
        <f t="shared" si="23"/>
        <v>0.21293964284358272</v>
      </c>
      <c r="T468" s="36"/>
      <c r="U468" s="36">
        <f>Table24[[#This Row],[WagesPercent]]+Table24[[#This Row],[FoodCostPercent]]</f>
        <v>0.52368969812115806</v>
      </c>
      <c r="V468" s="36"/>
    </row>
    <row r="469" spans="1:22" x14ac:dyDescent="0.25">
      <c r="A469" s="20">
        <v>468</v>
      </c>
      <c r="B469" s="21" t="s">
        <v>105</v>
      </c>
      <c r="C469" s="21" t="s">
        <v>102</v>
      </c>
      <c r="D469" s="6" t="s">
        <v>59</v>
      </c>
      <c r="E469" s="6">
        <v>3804003</v>
      </c>
      <c r="F469" s="6" t="s">
        <v>8</v>
      </c>
      <c r="G469" s="6" t="s">
        <v>7</v>
      </c>
      <c r="H469" s="6" t="s">
        <v>41</v>
      </c>
      <c r="I469" s="23">
        <v>10623.23</v>
      </c>
      <c r="J469" s="23">
        <v>10084.41</v>
      </c>
      <c r="K469" s="23">
        <v>727</v>
      </c>
      <c r="L469" s="23"/>
      <c r="M469" s="23">
        <f>3226.47+59.95-18.72-36</f>
        <v>3231.7</v>
      </c>
      <c r="N469" s="23">
        <v>352.77</v>
      </c>
      <c r="O469" s="23">
        <f>+Table24[[#This Row],[FoodcostBlueline]]+Table24[[#This Row],[Pepsico]]</f>
        <v>3584.47</v>
      </c>
      <c r="P469" s="24">
        <f t="shared" si="22"/>
        <v>0.33741809223748331</v>
      </c>
      <c r="Q469" s="24"/>
      <c r="R469" s="23">
        <v>2309.25</v>
      </c>
      <c r="S469" s="25">
        <f t="shared" si="23"/>
        <v>0.21737738898621231</v>
      </c>
      <c r="T469" s="36"/>
      <c r="U469" s="36">
        <f>Table24[[#This Row],[WagesPercent]]+Table24[[#This Row],[FoodCostPercent]]</f>
        <v>0.5547954812236956</v>
      </c>
      <c r="V469" s="36"/>
    </row>
    <row r="470" spans="1:22" x14ac:dyDescent="0.25">
      <c r="A470" s="20">
        <v>469</v>
      </c>
      <c r="B470" s="21" t="s">
        <v>105</v>
      </c>
      <c r="C470" s="21" t="s">
        <v>102</v>
      </c>
      <c r="D470" s="6" t="s">
        <v>59</v>
      </c>
      <c r="E470" s="6">
        <v>3804004</v>
      </c>
      <c r="F470" s="6" t="s">
        <v>9</v>
      </c>
      <c r="G470" s="6" t="s">
        <v>7</v>
      </c>
      <c r="H470" s="6" t="s">
        <v>41</v>
      </c>
      <c r="I470" s="23">
        <v>16955.5</v>
      </c>
      <c r="J470" s="23">
        <v>17403.919999999998</v>
      </c>
      <c r="K470" s="23">
        <v>1157</v>
      </c>
      <c r="L470" s="23"/>
      <c r="M470" s="23">
        <f>4315.65-99</f>
        <v>4216.6499999999996</v>
      </c>
      <c r="N470" s="23">
        <v>585.67999999999995</v>
      </c>
      <c r="O470" s="23">
        <f>+Table24[[#This Row],[FoodcostBlueline]]+Table24[[#This Row],[Pepsico]]</f>
        <v>4802.33</v>
      </c>
      <c r="P470" s="24">
        <f t="shared" si="22"/>
        <v>0.28323139984075962</v>
      </c>
      <c r="Q470" s="24"/>
      <c r="R470" s="23">
        <v>3651.58</v>
      </c>
      <c r="S470" s="25">
        <f t="shared" si="23"/>
        <v>0.21536256671876383</v>
      </c>
      <c r="T470" s="36"/>
      <c r="U470" s="36">
        <f>Table24[[#This Row],[WagesPercent]]+Table24[[#This Row],[FoodCostPercent]]</f>
        <v>0.49859396655952348</v>
      </c>
      <c r="V470" s="36"/>
    </row>
    <row r="471" spans="1:22" x14ac:dyDescent="0.25">
      <c r="A471" s="20">
        <v>470</v>
      </c>
      <c r="B471" s="21" t="s">
        <v>105</v>
      </c>
      <c r="C471" s="21" t="s">
        <v>102</v>
      </c>
      <c r="D471" s="6" t="s">
        <v>59</v>
      </c>
      <c r="E471" s="6">
        <v>3804005</v>
      </c>
      <c r="F471" s="6" t="s">
        <v>10</v>
      </c>
      <c r="G471" s="6" t="s">
        <v>7</v>
      </c>
      <c r="H471" s="6" t="s">
        <v>41</v>
      </c>
      <c r="I471" s="23">
        <v>14211.55</v>
      </c>
      <c r="J471" s="23">
        <v>13246.65</v>
      </c>
      <c r="K471" s="23">
        <v>920</v>
      </c>
      <c r="L471" s="23"/>
      <c r="M471" s="23">
        <f>438.48-87+3370.13</f>
        <v>3721.61</v>
      </c>
      <c r="N471" s="23">
        <v>636.14</v>
      </c>
      <c r="O471" s="23">
        <f>+Table24[[#This Row],[FoodcostBlueline]]+Table24[[#This Row],[Pepsico]]</f>
        <v>4357.75</v>
      </c>
      <c r="P471" s="24">
        <f t="shared" si="22"/>
        <v>0.30663439244839585</v>
      </c>
      <c r="Q471" s="24"/>
      <c r="R471" s="23">
        <v>3027.58</v>
      </c>
      <c r="S471" s="25">
        <f t="shared" si="23"/>
        <v>0.2130365794019653</v>
      </c>
      <c r="T471" s="36"/>
      <c r="U471" s="36">
        <f>Table24[[#This Row],[WagesPercent]]+Table24[[#This Row],[FoodCostPercent]]</f>
        <v>0.51967097185036115</v>
      </c>
      <c r="V471" s="36"/>
    </row>
    <row r="472" spans="1:22" x14ac:dyDescent="0.25">
      <c r="A472" s="20">
        <v>471</v>
      </c>
      <c r="B472" s="21" t="s">
        <v>105</v>
      </c>
      <c r="C472" s="21" t="s">
        <v>102</v>
      </c>
      <c r="D472" s="6" t="s">
        <v>59</v>
      </c>
      <c r="E472" s="6">
        <v>3804006</v>
      </c>
      <c r="F472" s="6" t="s">
        <v>11</v>
      </c>
      <c r="G472" s="6" t="s">
        <v>7</v>
      </c>
      <c r="H472" s="6" t="s">
        <v>41</v>
      </c>
      <c r="I472" s="23">
        <v>8304.16</v>
      </c>
      <c r="J472" s="23">
        <v>11182.91</v>
      </c>
      <c r="K472" s="23">
        <v>647</v>
      </c>
      <c r="L472" s="23"/>
      <c r="M472" s="23">
        <f>-90+2257.55+55</f>
        <v>2222.5500000000002</v>
      </c>
      <c r="N472" s="23">
        <v>0</v>
      </c>
      <c r="O472" s="23">
        <f>+Table24[[#This Row],[FoodcostBlueline]]+Table24[[#This Row],[Pepsico]]</f>
        <v>2222.5500000000002</v>
      </c>
      <c r="P472" s="24">
        <f t="shared" si="22"/>
        <v>0.2676429644900869</v>
      </c>
      <c r="Q472" s="24"/>
      <c r="R472" s="23">
        <v>1820.77</v>
      </c>
      <c r="S472" s="25">
        <f t="shared" si="23"/>
        <v>0.21925998535673685</v>
      </c>
      <c r="T472" s="36"/>
      <c r="U472" s="36">
        <f>Table24[[#This Row],[WagesPercent]]+Table24[[#This Row],[FoodCostPercent]]</f>
        <v>0.48690294984682375</v>
      </c>
      <c r="V472" s="36"/>
    </row>
    <row r="473" spans="1:22" x14ac:dyDescent="0.25">
      <c r="A473" s="20">
        <v>472</v>
      </c>
      <c r="B473" s="21" t="s">
        <v>105</v>
      </c>
      <c r="C473" s="21" t="s">
        <v>102</v>
      </c>
      <c r="D473" s="6" t="s">
        <v>59</v>
      </c>
      <c r="E473" s="6">
        <v>3804008</v>
      </c>
      <c r="F473" s="6" t="s">
        <v>12</v>
      </c>
      <c r="G473" s="6" t="s">
        <v>42</v>
      </c>
      <c r="H473" s="6" t="s">
        <v>41</v>
      </c>
      <c r="I473" s="23">
        <v>22479.19</v>
      </c>
      <c r="J473" s="23">
        <v>22891.33</v>
      </c>
      <c r="K473" s="23">
        <v>1393</v>
      </c>
      <c r="L473" s="23"/>
      <c r="M473" s="23">
        <f>5971.26-90</f>
        <v>5881.26</v>
      </c>
      <c r="N473" s="23">
        <v>517.99</v>
      </c>
      <c r="O473" s="23">
        <f>+Table24[[#This Row],[FoodcostBlueline]]+Table24[[#This Row],[Pepsico]]</f>
        <v>6399.25</v>
      </c>
      <c r="P473" s="24">
        <f t="shared" si="22"/>
        <v>0.28467440330367777</v>
      </c>
      <c r="Q473" s="24"/>
      <c r="R473" s="23">
        <v>5361</v>
      </c>
      <c r="S473" s="25">
        <f t="shared" si="23"/>
        <v>0.2384872408658853</v>
      </c>
      <c r="T473" s="36"/>
      <c r="U473" s="36">
        <f>Table24[[#This Row],[WagesPercent]]+Table24[[#This Row],[FoodCostPercent]]</f>
        <v>0.52316164416956301</v>
      </c>
      <c r="V473" s="36"/>
    </row>
    <row r="474" spans="1:22" x14ac:dyDescent="0.25">
      <c r="A474" s="20">
        <v>473</v>
      </c>
      <c r="B474" s="21" t="s">
        <v>105</v>
      </c>
      <c r="C474" s="21" t="s">
        <v>102</v>
      </c>
      <c r="D474" s="6" t="s">
        <v>59</v>
      </c>
      <c r="E474" s="6">
        <v>3804009</v>
      </c>
      <c r="F474" s="6" t="s">
        <v>13</v>
      </c>
      <c r="G474" s="6" t="s">
        <v>42</v>
      </c>
      <c r="H474" s="6" t="s">
        <v>41</v>
      </c>
      <c r="I474" s="23">
        <v>17710.849999999999</v>
      </c>
      <c r="J474" s="23">
        <v>16376.43</v>
      </c>
      <c r="K474" s="23">
        <v>1119</v>
      </c>
      <c r="L474" s="23"/>
      <c r="M474" s="23">
        <f>4315.22-138</f>
        <v>4177.22</v>
      </c>
      <c r="N474" s="23">
        <v>451.84</v>
      </c>
      <c r="O474" s="23">
        <f>+Table24[[#This Row],[FoodcostBlueline]]+Table24[[#This Row],[Pepsico]]</f>
        <v>4629.0600000000004</v>
      </c>
      <c r="P474" s="24">
        <f t="shared" si="22"/>
        <v>0.26136859608657975</v>
      </c>
      <c r="Q474" s="24"/>
      <c r="R474" s="23">
        <v>4543</v>
      </c>
      <c r="S474" s="25">
        <f t="shared" si="23"/>
        <v>0.25650942783660863</v>
      </c>
      <c r="T474" s="36"/>
      <c r="U474" s="36">
        <f>Table24[[#This Row],[WagesPercent]]+Table24[[#This Row],[FoodCostPercent]]</f>
        <v>0.51787802392318838</v>
      </c>
      <c r="V474" s="36"/>
    </row>
    <row r="475" spans="1:22" x14ac:dyDescent="0.25">
      <c r="A475" s="20">
        <v>474</v>
      </c>
      <c r="B475" s="21" t="s">
        <v>105</v>
      </c>
      <c r="C475" s="21" t="s">
        <v>102</v>
      </c>
      <c r="D475" s="6" t="s">
        <v>59</v>
      </c>
      <c r="E475" s="6">
        <v>3804010</v>
      </c>
      <c r="F475" s="6" t="s">
        <v>14</v>
      </c>
      <c r="G475" s="6" t="s">
        <v>42</v>
      </c>
      <c r="H475" s="6" t="s">
        <v>41</v>
      </c>
      <c r="I475" s="23">
        <v>8387.27</v>
      </c>
      <c r="J475" s="23">
        <v>10221.93</v>
      </c>
      <c r="K475" s="23">
        <v>522</v>
      </c>
      <c r="L475" s="23"/>
      <c r="M475" s="23">
        <f>-24.7+2069-93</f>
        <v>1951.3</v>
      </c>
      <c r="N475" s="23">
        <v>581.58000000000004</v>
      </c>
      <c r="O475" s="23">
        <f>+Table24[[#This Row],[FoodcostBlueline]]+Table24[[#This Row],[Pepsico]]</f>
        <v>2532.88</v>
      </c>
      <c r="P475" s="24">
        <f t="shared" si="22"/>
        <v>0.30199099349371128</v>
      </c>
      <c r="Q475" s="24"/>
      <c r="R475" s="23">
        <v>1252</v>
      </c>
      <c r="S475" s="25">
        <f t="shared" si="23"/>
        <v>0.14927383999799695</v>
      </c>
      <c r="T475" s="36"/>
      <c r="U475" s="36">
        <f>Table24[[#This Row],[WagesPercent]]+Table24[[#This Row],[FoodCostPercent]]</f>
        <v>0.45126483349170821</v>
      </c>
      <c r="V475" s="36"/>
    </row>
    <row r="476" spans="1:22" x14ac:dyDescent="0.25">
      <c r="A476" s="20">
        <v>475</v>
      </c>
      <c r="B476" s="21" t="s">
        <v>105</v>
      </c>
      <c r="C476" s="21" t="s">
        <v>102</v>
      </c>
      <c r="D476" s="6" t="s">
        <v>59</v>
      </c>
      <c r="E476" s="6">
        <v>3804011</v>
      </c>
      <c r="F476" s="6" t="s">
        <v>15</v>
      </c>
      <c r="G476" s="6" t="s">
        <v>79</v>
      </c>
      <c r="H476" s="6" t="s">
        <v>41</v>
      </c>
      <c r="I476" s="23">
        <v>31479.38</v>
      </c>
      <c r="J476" s="23">
        <v>23801.01</v>
      </c>
      <c r="K476" s="23">
        <v>1976</v>
      </c>
      <c r="L476" s="23"/>
      <c r="M476" s="23">
        <f>7621.91-120</f>
        <v>7501.91</v>
      </c>
      <c r="N476" s="23">
        <v>384.52</v>
      </c>
      <c r="O476" s="23">
        <f>+Table24[[#This Row],[FoodcostBlueline]]+Table24[[#This Row],[Pepsico]]</f>
        <v>7886.43</v>
      </c>
      <c r="P476" s="24">
        <f t="shared" si="22"/>
        <v>0.25052685281603387</v>
      </c>
      <c r="Q476" s="24"/>
      <c r="R476" s="23">
        <f>2762.3+650</f>
        <v>3412.3</v>
      </c>
      <c r="S476" s="25">
        <f t="shared" si="23"/>
        <v>0.10839794176378315</v>
      </c>
      <c r="T476" s="36"/>
      <c r="U476" s="36">
        <f>Table24[[#This Row],[WagesPercent]]+Table24[[#This Row],[FoodCostPercent]]</f>
        <v>0.35892479457981702</v>
      </c>
      <c r="V476" s="36"/>
    </row>
    <row r="477" spans="1:22" x14ac:dyDescent="0.25">
      <c r="A477" s="20">
        <v>476</v>
      </c>
      <c r="B477" s="21" t="s">
        <v>105</v>
      </c>
      <c r="C477" s="21" t="s">
        <v>102</v>
      </c>
      <c r="D477" s="6" t="s">
        <v>59</v>
      </c>
      <c r="E477" s="6">
        <v>3804013</v>
      </c>
      <c r="F477" s="6" t="s">
        <v>17</v>
      </c>
      <c r="G477" s="6" t="s">
        <v>79</v>
      </c>
      <c r="H477" s="6" t="s">
        <v>41</v>
      </c>
      <c r="I477" s="23">
        <v>9355.9699999999993</v>
      </c>
      <c r="J477" s="23">
        <v>7915.02</v>
      </c>
      <c r="K477" s="23">
        <v>609</v>
      </c>
      <c r="L477" s="23"/>
      <c r="M477" s="23">
        <f>2819.06-78</f>
        <v>2741.06</v>
      </c>
      <c r="N477" s="23">
        <v>0</v>
      </c>
      <c r="O477" s="23">
        <f>+Table24[[#This Row],[FoodcostBlueline]]+Table24[[#This Row],[Pepsico]]</f>
        <v>2741.06</v>
      </c>
      <c r="P477" s="24">
        <f t="shared" si="22"/>
        <v>0.29297443236778231</v>
      </c>
      <c r="Q477" s="24"/>
      <c r="R477" s="23">
        <v>2214.5100000000002</v>
      </c>
      <c r="S477" s="25">
        <f t="shared" si="23"/>
        <v>0.23669485900446458</v>
      </c>
      <c r="T477" s="36"/>
      <c r="U477" s="36">
        <f>Table24[[#This Row],[WagesPercent]]+Table24[[#This Row],[FoodCostPercent]]</f>
        <v>0.52966929137224694</v>
      </c>
      <c r="V477" s="36"/>
    </row>
    <row r="478" spans="1:22" x14ac:dyDescent="0.25">
      <c r="A478" s="20">
        <v>477</v>
      </c>
      <c r="B478" s="21" t="s">
        <v>105</v>
      </c>
      <c r="C478" s="21" t="s">
        <v>102</v>
      </c>
      <c r="D478" s="6" t="s">
        <v>59</v>
      </c>
      <c r="E478" s="6">
        <v>3804014</v>
      </c>
      <c r="F478" s="6" t="s">
        <v>18</v>
      </c>
      <c r="G478" s="6" t="s">
        <v>79</v>
      </c>
      <c r="H478" s="6" t="s">
        <v>41</v>
      </c>
      <c r="I478" s="23">
        <v>7691.32</v>
      </c>
      <c r="J478" s="23">
        <v>8404.67</v>
      </c>
      <c r="K478" s="23">
        <v>512</v>
      </c>
      <c r="L478" s="23"/>
      <c r="M478" s="23">
        <f>2629.08-48</f>
        <v>2581.08</v>
      </c>
      <c r="N478" s="23">
        <v>215.57</v>
      </c>
      <c r="O478" s="23">
        <f>+Table24[[#This Row],[FoodcostBlueline]]+Table24[[#This Row],[Pepsico]]</f>
        <v>2796.65</v>
      </c>
      <c r="P478" s="24">
        <f t="shared" si="22"/>
        <v>0.36361118767649769</v>
      </c>
      <c r="Q478" s="24"/>
      <c r="R478" s="23">
        <v>2173.34</v>
      </c>
      <c r="S478" s="25">
        <f t="shared" si="23"/>
        <v>0.28257048204989521</v>
      </c>
      <c r="T478" s="36"/>
      <c r="U478" s="36">
        <f>Table24[[#This Row],[WagesPercent]]+Table24[[#This Row],[FoodCostPercent]]</f>
        <v>0.6461816697263929</v>
      </c>
      <c r="V478" s="36"/>
    </row>
    <row r="479" spans="1:22" x14ac:dyDescent="0.25">
      <c r="A479" s="20">
        <v>478</v>
      </c>
      <c r="B479" s="21" t="s">
        <v>105</v>
      </c>
      <c r="C479" s="21" t="s">
        <v>102</v>
      </c>
      <c r="D479" s="6" t="s">
        <v>59</v>
      </c>
      <c r="E479" s="6">
        <v>3804015</v>
      </c>
      <c r="F479" s="6" t="s">
        <v>19</v>
      </c>
      <c r="G479" s="6" t="s">
        <v>20</v>
      </c>
      <c r="H479" s="6" t="s">
        <v>41</v>
      </c>
      <c r="I479" s="23">
        <v>15091.36</v>
      </c>
      <c r="J479" s="23">
        <v>17972.59</v>
      </c>
      <c r="K479" s="23">
        <v>922</v>
      </c>
      <c r="L479" s="23"/>
      <c r="M479" s="23">
        <f>4363.81-51</f>
        <v>4312.8100000000004</v>
      </c>
      <c r="N479" s="23">
        <v>0</v>
      </c>
      <c r="O479" s="23">
        <f>+Table24[[#This Row],[FoodcostBlueline]]+Table24[[#This Row],[Pepsico]]</f>
        <v>4312.8100000000004</v>
      </c>
      <c r="P479" s="24">
        <f t="shared" si="22"/>
        <v>0.28578007548690115</v>
      </c>
      <c r="Q479" s="24"/>
      <c r="R479" s="23">
        <v>3585.86</v>
      </c>
      <c r="S479" s="25">
        <f t="shared" si="23"/>
        <v>0.23761012923951189</v>
      </c>
      <c r="T479" s="36"/>
      <c r="U479" s="36">
        <f>Table24[[#This Row],[WagesPercent]]+Table24[[#This Row],[FoodCostPercent]]</f>
        <v>0.52339020472641307</v>
      </c>
      <c r="V479" s="36"/>
    </row>
    <row r="480" spans="1:22" x14ac:dyDescent="0.25">
      <c r="A480" s="20">
        <v>479</v>
      </c>
      <c r="B480" s="21" t="s">
        <v>105</v>
      </c>
      <c r="C480" s="21" t="s">
        <v>102</v>
      </c>
      <c r="D480" s="6" t="s">
        <v>59</v>
      </c>
      <c r="E480" s="6">
        <v>3804016</v>
      </c>
      <c r="F480" s="6" t="s">
        <v>21</v>
      </c>
      <c r="G480" s="6" t="s">
        <v>22</v>
      </c>
      <c r="H480" s="6" t="s">
        <v>40</v>
      </c>
      <c r="I480" s="23">
        <v>11803.69</v>
      </c>
      <c r="J480" s="23">
        <v>17020.68</v>
      </c>
      <c r="K480" s="23">
        <v>730</v>
      </c>
      <c r="L480" s="23"/>
      <c r="M480" s="23">
        <f>3755.81-75</f>
        <v>3680.81</v>
      </c>
      <c r="N480" s="23">
        <v>0</v>
      </c>
      <c r="O480" s="23">
        <f>+Table24[[#This Row],[FoodcostBlueline]]+Table24[[#This Row],[Pepsico]]</f>
        <v>3680.81</v>
      </c>
      <c r="P480" s="24">
        <f t="shared" si="22"/>
        <v>0.31183553617555188</v>
      </c>
      <c r="Q480" s="24"/>
      <c r="R480" s="23">
        <v>2807.8</v>
      </c>
      <c r="S480" s="25">
        <f t="shared" si="23"/>
        <v>0.23787476628071391</v>
      </c>
      <c r="T480" s="36"/>
      <c r="U480" s="36">
        <f>Table24[[#This Row],[WagesPercent]]+Table24[[#This Row],[FoodCostPercent]]</f>
        <v>0.54971030245626573</v>
      </c>
      <c r="V480" s="36"/>
    </row>
    <row r="481" spans="1:22" x14ac:dyDescent="0.25">
      <c r="A481" s="20">
        <v>480</v>
      </c>
      <c r="B481" s="21" t="s">
        <v>105</v>
      </c>
      <c r="C481" s="21" t="s">
        <v>102</v>
      </c>
      <c r="D481" s="6" t="s">
        <v>59</v>
      </c>
      <c r="E481" s="6">
        <v>3804017</v>
      </c>
      <c r="F481" s="6" t="s">
        <v>23</v>
      </c>
      <c r="G481" s="6" t="s">
        <v>22</v>
      </c>
      <c r="H481" s="6" t="s">
        <v>40</v>
      </c>
      <c r="I481" s="23">
        <v>17678.28</v>
      </c>
      <c r="J481" s="23">
        <v>22910.41</v>
      </c>
      <c r="K481" s="23">
        <v>1111</v>
      </c>
      <c r="L481" s="23"/>
      <c r="M481" s="23">
        <f>-24+4468.24</f>
        <v>4444.24</v>
      </c>
      <c r="N481" s="23">
        <v>0</v>
      </c>
      <c r="O481" s="23">
        <f>+Table24[[#This Row],[FoodcostBlueline]]+Table24[[#This Row],[Pepsico]]</f>
        <v>4444.24</v>
      </c>
      <c r="P481" s="24">
        <f t="shared" si="22"/>
        <v>0.25139549775204373</v>
      </c>
      <c r="Q481" s="24"/>
      <c r="R481" s="23">
        <v>3725.26</v>
      </c>
      <c r="S481" s="25">
        <f t="shared" si="23"/>
        <v>0.21072525155162156</v>
      </c>
      <c r="T481" s="36"/>
      <c r="U481" s="36">
        <f>Table24[[#This Row],[WagesPercent]]+Table24[[#This Row],[FoodCostPercent]]</f>
        <v>0.46212074930366531</v>
      </c>
      <c r="V481" s="36"/>
    </row>
    <row r="482" spans="1:22" x14ac:dyDescent="0.25">
      <c r="A482" s="20">
        <v>481</v>
      </c>
      <c r="B482" s="21" t="s">
        <v>105</v>
      </c>
      <c r="C482" s="21" t="s">
        <v>102</v>
      </c>
      <c r="D482" s="6" t="s">
        <v>59</v>
      </c>
      <c r="E482" s="6">
        <v>3804018</v>
      </c>
      <c r="F482" s="6" t="s">
        <v>24</v>
      </c>
      <c r="G482" s="6" t="s">
        <v>20</v>
      </c>
      <c r="H482" s="6" t="s">
        <v>41</v>
      </c>
      <c r="I482" s="23">
        <v>19634.93</v>
      </c>
      <c r="J482" s="23">
        <v>21199.23</v>
      </c>
      <c r="K482" s="23">
        <v>1172</v>
      </c>
      <c r="L482" s="23"/>
      <c r="M482" s="23">
        <f>-24.7+5777.32-18</f>
        <v>5734.62</v>
      </c>
      <c r="N482" s="23">
        <v>390.31</v>
      </c>
      <c r="O482" s="23">
        <f>+Table24[[#This Row],[FoodcostBlueline]]+Table24[[#This Row],[Pepsico]]</f>
        <v>6124.93</v>
      </c>
      <c r="P482" s="24">
        <f t="shared" si="22"/>
        <v>0.31194050602675949</v>
      </c>
      <c r="Q482" s="24"/>
      <c r="R482" s="23">
        <v>3919.88</v>
      </c>
      <c r="S482" s="25">
        <f t="shared" si="23"/>
        <v>0.1996380939478776</v>
      </c>
      <c r="T482" s="36"/>
      <c r="U482" s="36">
        <f>Table24[[#This Row],[WagesPercent]]+Table24[[#This Row],[FoodCostPercent]]</f>
        <v>0.51157859997463706</v>
      </c>
      <c r="V482" s="36"/>
    </row>
    <row r="483" spans="1:22" x14ac:dyDescent="0.25">
      <c r="A483" s="20">
        <v>482</v>
      </c>
      <c r="B483" s="21" t="s">
        <v>105</v>
      </c>
      <c r="C483" s="21" t="s">
        <v>102</v>
      </c>
      <c r="D483" s="6" t="s">
        <v>59</v>
      </c>
      <c r="E483" s="6">
        <v>3804019</v>
      </c>
      <c r="F483" s="6" t="s">
        <v>25</v>
      </c>
      <c r="G483" s="6" t="s">
        <v>20</v>
      </c>
      <c r="H483" s="6" t="s">
        <v>41</v>
      </c>
      <c r="I483" s="23">
        <v>12703.47</v>
      </c>
      <c r="J483" s="23">
        <v>13386.96</v>
      </c>
      <c r="K483" s="23">
        <v>778</v>
      </c>
      <c r="L483" s="23"/>
      <c r="M483" s="23">
        <f>-12.35-12.88+3737.11-15</f>
        <v>3696.88</v>
      </c>
      <c r="N483" s="23">
        <v>277.14999999999998</v>
      </c>
      <c r="O483" s="23">
        <f>+Table24[[#This Row],[FoodcostBlueline]]+Table24[[#This Row],[Pepsico]]</f>
        <v>3974.03</v>
      </c>
      <c r="P483" s="24">
        <f t="shared" si="22"/>
        <v>0.31283027393302776</v>
      </c>
      <c r="Q483" s="24"/>
      <c r="R483" s="23">
        <f>2982.94+250</f>
        <v>3232.94</v>
      </c>
      <c r="S483" s="25">
        <f t="shared" si="23"/>
        <v>0.25449267011296917</v>
      </c>
      <c r="T483" s="36"/>
      <c r="U483" s="36">
        <f>Table24[[#This Row],[WagesPercent]]+Table24[[#This Row],[FoodCostPercent]]</f>
        <v>0.56732294404599692</v>
      </c>
      <c r="V483" s="36"/>
    </row>
    <row r="484" spans="1:22" x14ac:dyDescent="0.25">
      <c r="A484" s="20">
        <v>483</v>
      </c>
      <c r="B484" s="21" t="s">
        <v>105</v>
      </c>
      <c r="C484" s="21" t="s">
        <v>102</v>
      </c>
      <c r="D484" s="6" t="s">
        <v>59</v>
      </c>
      <c r="E484" s="6">
        <v>3804020</v>
      </c>
      <c r="F484" s="6" t="s">
        <v>26</v>
      </c>
      <c r="G484" s="6" t="s">
        <v>22</v>
      </c>
      <c r="H484" s="6" t="s">
        <v>40</v>
      </c>
      <c r="I484" s="23">
        <v>12886.27</v>
      </c>
      <c r="J484" s="23">
        <v>12756.54</v>
      </c>
      <c r="K484" s="23">
        <v>790</v>
      </c>
      <c r="L484" s="23"/>
      <c r="M484" s="23">
        <f>-6+7.41+3062.57</f>
        <v>3063.98</v>
      </c>
      <c r="N484" s="23">
        <v>282.7</v>
      </c>
      <c r="O484" s="23">
        <f>+Table24[[#This Row],[FoodcostBlueline]]+Table24[[#This Row],[Pepsico]]</f>
        <v>3346.68</v>
      </c>
      <c r="P484" s="24">
        <f t="shared" si="22"/>
        <v>0.25970897707404855</v>
      </c>
      <c r="Q484" s="24"/>
      <c r="R484" s="23">
        <v>2694.7</v>
      </c>
      <c r="S484" s="25">
        <f t="shared" si="23"/>
        <v>0.20911404153412894</v>
      </c>
      <c r="T484" s="36"/>
      <c r="U484" s="36">
        <f>Table24[[#This Row],[WagesPercent]]+Table24[[#This Row],[FoodCostPercent]]</f>
        <v>0.46882301860817749</v>
      </c>
      <c r="V484" s="36"/>
    </row>
    <row r="485" spans="1:22" x14ac:dyDescent="0.25">
      <c r="A485" s="20">
        <v>484</v>
      </c>
      <c r="B485" s="21" t="s">
        <v>105</v>
      </c>
      <c r="C485" s="21" t="s">
        <v>102</v>
      </c>
      <c r="D485" s="6" t="s">
        <v>59</v>
      </c>
      <c r="E485" s="6">
        <v>3804021</v>
      </c>
      <c r="F485" s="6" t="s">
        <v>27</v>
      </c>
      <c r="G485" s="6" t="s">
        <v>22</v>
      </c>
      <c r="H485" s="6" t="s">
        <v>40</v>
      </c>
      <c r="I485" s="23">
        <v>21177.64</v>
      </c>
      <c r="J485" s="23">
        <v>28179.67</v>
      </c>
      <c r="K485" s="23">
        <v>1327</v>
      </c>
      <c r="L485" s="23"/>
      <c r="M485" s="23">
        <f>437.78+489.11-12.35-66+6233.35</f>
        <v>7081.89</v>
      </c>
      <c r="N485" s="23">
        <v>455.5</v>
      </c>
      <c r="O485" s="23">
        <f>+Table24[[#This Row],[FoodcostBlueline]]+Table24[[#This Row],[Pepsico]]</f>
        <v>7537.39</v>
      </c>
      <c r="P485" s="24">
        <f t="shared" si="22"/>
        <v>0.35591265126803556</v>
      </c>
      <c r="Q485" s="24"/>
      <c r="R485" s="23">
        <v>4475.72</v>
      </c>
      <c r="S485" s="25">
        <f t="shared" si="23"/>
        <v>0.21134177368205334</v>
      </c>
      <c r="T485" s="36"/>
      <c r="U485" s="36">
        <f>Table24[[#This Row],[WagesPercent]]+Table24[[#This Row],[FoodCostPercent]]</f>
        <v>0.56725442495008893</v>
      </c>
      <c r="V485" s="36"/>
    </row>
    <row r="486" spans="1:22" x14ac:dyDescent="0.25">
      <c r="A486" s="20">
        <v>485</v>
      </c>
      <c r="B486" s="21" t="s">
        <v>105</v>
      </c>
      <c r="C486" s="21" t="s">
        <v>102</v>
      </c>
      <c r="D486" s="6" t="s">
        <v>59</v>
      </c>
      <c r="E486" s="6">
        <v>3804022</v>
      </c>
      <c r="F486" s="6" t="s">
        <v>28</v>
      </c>
      <c r="G486" s="6" t="s">
        <v>22</v>
      </c>
      <c r="H486" s="6" t="s">
        <v>40</v>
      </c>
      <c r="I486" s="23">
        <v>12322.03</v>
      </c>
      <c r="J486" s="23">
        <v>16106.02</v>
      </c>
      <c r="K486" s="23">
        <v>740</v>
      </c>
      <c r="L486" s="23"/>
      <c r="M486" s="23">
        <f>3737.8-3</f>
        <v>3734.8</v>
      </c>
      <c r="N486" s="23">
        <v>0</v>
      </c>
      <c r="O486" s="23">
        <f>+Table24[[#This Row],[FoodcostBlueline]]+Table24[[#This Row],[Pepsico]]</f>
        <v>3734.8</v>
      </c>
      <c r="P486" s="24">
        <f t="shared" si="22"/>
        <v>0.30309940813323777</v>
      </c>
      <c r="Q486" s="24"/>
      <c r="R486" s="23">
        <v>2994.45</v>
      </c>
      <c r="S486" s="25">
        <f t="shared" si="23"/>
        <v>0.24301596409033249</v>
      </c>
      <c r="T486" s="36"/>
      <c r="U486" s="36">
        <f>Table24[[#This Row],[WagesPercent]]+Table24[[#This Row],[FoodCostPercent]]</f>
        <v>0.54611537222357032</v>
      </c>
      <c r="V486" s="36"/>
    </row>
    <row r="487" spans="1:22" x14ac:dyDescent="0.25">
      <c r="A487" s="20">
        <v>486</v>
      </c>
      <c r="B487" s="21" t="s">
        <v>105</v>
      </c>
      <c r="C487" s="21" t="s">
        <v>102</v>
      </c>
      <c r="D487" s="6" t="s">
        <v>59</v>
      </c>
      <c r="E487" s="6">
        <v>3804023</v>
      </c>
      <c r="F487" s="6" t="s">
        <v>29</v>
      </c>
      <c r="G487" s="6" t="s">
        <v>22</v>
      </c>
      <c r="H487" s="6" t="s">
        <v>40</v>
      </c>
      <c r="I487" s="23">
        <v>12728.38</v>
      </c>
      <c r="J487" s="23">
        <v>17469.849999999999</v>
      </c>
      <c r="K487" s="23">
        <v>802</v>
      </c>
      <c r="L487" s="23"/>
      <c r="M487" s="23">
        <f>-12.35+4044.67-39</f>
        <v>3993.32</v>
      </c>
      <c r="N487" s="23">
        <v>499.86</v>
      </c>
      <c r="O487" s="23">
        <f>+Table24[[#This Row],[FoodcostBlueline]]+Table24[[#This Row],[Pepsico]]</f>
        <v>4493.18</v>
      </c>
      <c r="P487" s="24">
        <f t="shared" si="22"/>
        <v>0.35300486000575099</v>
      </c>
      <c r="Q487" s="24"/>
      <c r="R487" s="23">
        <v>3970.19</v>
      </c>
      <c r="S487" s="25">
        <f t="shared" si="23"/>
        <v>0.31191636327639499</v>
      </c>
      <c r="T487" s="36"/>
      <c r="U487" s="36">
        <f>Table24[[#This Row],[WagesPercent]]+Table24[[#This Row],[FoodCostPercent]]</f>
        <v>0.66492122328214598</v>
      </c>
      <c r="V487" s="36"/>
    </row>
    <row r="488" spans="1:22" x14ac:dyDescent="0.25">
      <c r="A488" s="20">
        <v>487</v>
      </c>
      <c r="B488" s="21" t="s">
        <v>105</v>
      </c>
      <c r="C488" s="21" t="s">
        <v>102</v>
      </c>
      <c r="D488" s="6" t="s">
        <v>59</v>
      </c>
      <c r="E488" s="6">
        <v>3804024</v>
      </c>
      <c r="F488" s="6" t="s">
        <v>30</v>
      </c>
      <c r="G488" s="6" t="s">
        <v>20</v>
      </c>
      <c r="H488" s="6" t="s">
        <v>41</v>
      </c>
      <c r="I488" s="23">
        <v>11595.98</v>
      </c>
      <c r="J488" s="23">
        <v>14274.53</v>
      </c>
      <c r="K488" s="23">
        <v>716</v>
      </c>
      <c r="L488" s="23"/>
      <c r="M488" s="23">
        <f>2943.53-108</f>
        <v>2835.53</v>
      </c>
      <c r="N488" s="23">
        <v>306.81</v>
      </c>
      <c r="O488" s="23">
        <f>+Table24[[#This Row],[FoodcostBlueline]]+Table24[[#This Row],[Pepsico]]</f>
        <v>3142.34</v>
      </c>
      <c r="P488" s="24">
        <f t="shared" si="22"/>
        <v>0.27098528972971669</v>
      </c>
      <c r="Q488" s="24"/>
      <c r="R488" s="23">
        <f>3565.37+69.23</f>
        <v>3634.6</v>
      </c>
      <c r="S488" s="25">
        <f t="shared" si="23"/>
        <v>0.31343620806520883</v>
      </c>
      <c r="T488" s="36"/>
      <c r="U488" s="36">
        <f>Table24[[#This Row],[WagesPercent]]+Table24[[#This Row],[FoodCostPercent]]</f>
        <v>0.58442149779492558</v>
      </c>
      <c r="V488" s="36"/>
    </row>
    <row r="489" spans="1:22" x14ac:dyDescent="0.25">
      <c r="A489" s="20">
        <v>488</v>
      </c>
      <c r="B489" s="21" t="s">
        <v>105</v>
      </c>
      <c r="C489" s="21" t="s">
        <v>102</v>
      </c>
      <c r="D489" s="6" t="s">
        <v>59</v>
      </c>
      <c r="E489" s="6">
        <v>3804025</v>
      </c>
      <c r="F489" s="6" t="s">
        <v>31</v>
      </c>
      <c r="G489" s="6" t="s">
        <v>20</v>
      </c>
      <c r="H489" s="6" t="s">
        <v>41</v>
      </c>
      <c r="I489" s="23">
        <v>25420.18</v>
      </c>
      <c r="J489" s="23">
        <v>28398.68</v>
      </c>
      <c r="K489" s="23">
        <v>1581</v>
      </c>
      <c r="L489" s="23"/>
      <c r="M489" s="23">
        <f>7402.46-78</f>
        <v>7324.46</v>
      </c>
      <c r="N489" s="23">
        <v>472.44</v>
      </c>
      <c r="O489" s="23">
        <f>+Table24[[#This Row],[FoodcostBlueline]]+Table24[[#This Row],[Pepsico]]</f>
        <v>7796.9</v>
      </c>
      <c r="P489" s="24">
        <f t="shared" si="22"/>
        <v>0.30672088081201626</v>
      </c>
      <c r="Q489" s="24"/>
      <c r="R489" s="23">
        <v>5369.3</v>
      </c>
      <c r="S489" s="25">
        <f t="shared" si="23"/>
        <v>0.21122195043465467</v>
      </c>
      <c r="T489" s="36"/>
      <c r="U489" s="36">
        <f>Table24[[#This Row],[WagesPercent]]+Table24[[#This Row],[FoodCostPercent]]</f>
        <v>0.51794283124667095</v>
      </c>
      <c r="V489" s="36"/>
    </row>
    <row r="490" spans="1:22" x14ac:dyDescent="0.25">
      <c r="A490" s="20">
        <v>489</v>
      </c>
      <c r="B490" s="21" t="s">
        <v>105</v>
      </c>
      <c r="C490" s="21" t="s">
        <v>102</v>
      </c>
      <c r="D490" s="6" t="s">
        <v>59</v>
      </c>
      <c r="E490" s="6">
        <v>3804026</v>
      </c>
      <c r="F490" s="6" t="s">
        <v>32</v>
      </c>
      <c r="G490" s="6" t="s">
        <v>79</v>
      </c>
      <c r="H490" s="6" t="s">
        <v>41</v>
      </c>
      <c r="I490" s="23">
        <v>12942.57</v>
      </c>
      <c r="J490" s="23">
        <v>13725.82</v>
      </c>
      <c r="K490" s="23">
        <v>829</v>
      </c>
      <c r="L490" s="23"/>
      <c r="M490" s="23">
        <f>3965.64-63</f>
        <v>3902.64</v>
      </c>
      <c r="N490" s="23">
        <v>315.92</v>
      </c>
      <c r="O490" s="23">
        <f>+Table24[[#This Row],[FoodcostBlueline]]+Table24[[#This Row],[Pepsico]]</f>
        <v>4218.5599999999995</v>
      </c>
      <c r="P490" s="24">
        <f t="shared" si="22"/>
        <v>0.32594453806315127</v>
      </c>
      <c r="Q490" s="24"/>
      <c r="R490" s="23">
        <v>3572</v>
      </c>
      <c r="S490" s="25">
        <f t="shared" si="23"/>
        <v>0.27598846287870182</v>
      </c>
      <c r="T490" s="36"/>
      <c r="U490" s="36">
        <f>Table24[[#This Row],[WagesPercent]]+Table24[[#This Row],[FoodCostPercent]]</f>
        <v>0.60193300094185309</v>
      </c>
      <c r="V490" s="36"/>
    </row>
    <row r="491" spans="1:22" x14ac:dyDescent="0.25">
      <c r="A491" s="20">
        <v>490</v>
      </c>
      <c r="B491" s="21" t="s">
        <v>105</v>
      </c>
      <c r="C491" s="21" t="s">
        <v>102</v>
      </c>
      <c r="D491" s="6" t="s">
        <v>59</v>
      </c>
      <c r="E491" s="6">
        <v>3804027</v>
      </c>
      <c r="F491" s="6" t="s">
        <v>33</v>
      </c>
      <c r="G491" s="6" t="s">
        <v>43</v>
      </c>
      <c r="H491" s="6" t="s">
        <v>41</v>
      </c>
      <c r="I491" s="23">
        <v>21211.35</v>
      </c>
      <c r="J491" s="23">
        <v>16812.04</v>
      </c>
      <c r="K491" s="23">
        <v>1514</v>
      </c>
      <c r="L491" s="23"/>
      <c r="M491" s="23">
        <f>112.32+5456.03-147</f>
        <v>5421.3499999999995</v>
      </c>
      <c r="N491" s="23">
        <v>0</v>
      </c>
      <c r="O491" s="23">
        <f>+Table24[[#This Row],[FoodcostBlueline]]+Table24[[#This Row],[Pepsico]]</f>
        <v>5421.3499999999995</v>
      </c>
      <c r="P491" s="24">
        <f t="shared" si="22"/>
        <v>0.25558722099253467</v>
      </c>
      <c r="Q491" s="24"/>
      <c r="R491" s="23">
        <f>1767.65+377+1600</f>
        <v>3744.65</v>
      </c>
      <c r="S491" s="25">
        <f t="shared" si="23"/>
        <v>0.17653991848703643</v>
      </c>
      <c r="T491" s="36"/>
      <c r="U491" s="36">
        <f>Table24[[#This Row],[WagesPercent]]+Table24[[#This Row],[FoodCostPercent]]</f>
        <v>0.4321271394795711</v>
      </c>
      <c r="V491" s="36"/>
    </row>
    <row r="492" spans="1:22" x14ac:dyDescent="0.25">
      <c r="A492" s="20">
        <v>491</v>
      </c>
      <c r="B492" s="21" t="s">
        <v>105</v>
      </c>
      <c r="C492" s="21" t="s">
        <v>102</v>
      </c>
      <c r="D492" s="6" t="s">
        <v>59</v>
      </c>
      <c r="E492" s="6">
        <v>3804029</v>
      </c>
      <c r="F492" s="6" t="s">
        <v>34</v>
      </c>
      <c r="G492" s="6" t="s">
        <v>79</v>
      </c>
      <c r="H492" s="6" t="s">
        <v>41</v>
      </c>
      <c r="I492" s="23">
        <v>673.26</v>
      </c>
      <c r="J492" s="23">
        <v>12047.24</v>
      </c>
      <c r="K492" s="23">
        <v>51</v>
      </c>
      <c r="L492" s="23"/>
      <c r="M492" s="23">
        <f>281.3+3244.71-96</f>
        <v>3430.01</v>
      </c>
      <c r="N492" s="23">
        <v>0</v>
      </c>
      <c r="O492" s="23">
        <f>+Table24[[#This Row],[FoodcostBlueline]]+Table24[[#This Row],[Pepsico]]</f>
        <v>3430.01</v>
      </c>
      <c r="P492" s="24">
        <f t="shared" si="22"/>
        <v>5.0946291180227554</v>
      </c>
      <c r="Q492" s="24"/>
      <c r="R492" s="23">
        <f>588.45+2370+240</f>
        <v>3198.45</v>
      </c>
      <c r="S492" s="25">
        <f t="shared" si="23"/>
        <v>4.7506906692808126</v>
      </c>
      <c r="T492" s="36"/>
      <c r="U492" s="36">
        <f>Table24[[#This Row],[WagesPercent]]+Table24[[#This Row],[FoodCostPercent]]</f>
        <v>9.845319787303568</v>
      </c>
      <c r="V492" s="36"/>
    </row>
    <row r="493" spans="1:22" x14ac:dyDescent="0.25">
      <c r="A493" s="20">
        <v>492</v>
      </c>
      <c r="B493" s="21" t="s">
        <v>105</v>
      </c>
      <c r="C493" s="21" t="s">
        <v>102</v>
      </c>
      <c r="D493" s="6" t="s">
        <v>59</v>
      </c>
      <c r="E493" s="6">
        <v>3804030</v>
      </c>
      <c r="F493" s="6" t="s">
        <v>35</v>
      </c>
      <c r="G493" s="6" t="s">
        <v>5</v>
      </c>
      <c r="H493" s="6" t="s">
        <v>40</v>
      </c>
      <c r="I493" s="23">
        <v>11004.09</v>
      </c>
      <c r="J493" s="23">
        <v>9667.98</v>
      </c>
      <c r="K493" s="23">
        <v>696</v>
      </c>
      <c r="L493" s="23"/>
      <c r="M493" s="23">
        <f>2737.11+141.12-102</f>
        <v>2776.23</v>
      </c>
      <c r="N493" s="23">
        <v>182.75</v>
      </c>
      <c r="O493" s="23">
        <f>+Table24[[#This Row],[FoodcostBlueline]]+Table24[[#This Row],[Pepsico]]</f>
        <v>2958.98</v>
      </c>
      <c r="P493" s="24">
        <f t="shared" si="22"/>
        <v>0.26889820057814867</v>
      </c>
      <c r="Q493" s="24"/>
      <c r="R493" s="23">
        <v>2540.17</v>
      </c>
      <c r="S493" s="25">
        <f t="shared" si="23"/>
        <v>0.2308387154230836</v>
      </c>
      <c r="T493" s="36"/>
      <c r="U493" s="36">
        <f>Table24[[#This Row],[WagesPercent]]+Table24[[#This Row],[FoodCostPercent]]</f>
        <v>0.49973691600123227</v>
      </c>
      <c r="V493" s="36"/>
    </row>
    <row r="494" spans="1:22" x14ac:dyDescent="0.25">
      <c r="A494" s="20">
        <v>493</v>
      </c>
      <c r="B494" s="21" t="s">
        <v>105</v>
      </c>
      <c r="C494" s="21" t="s">
        <v>102</v>
      </c>
      <c r="D494" s="6" t="s">
        <v>59</v>
      </c>
      <c r="E494" s="6">
        <v>3804031</v>
      </c>
      <c r="F494" s="6" t="s">
        <v>36</v>
      </c>
      <c r="G494" s="6" t="s">
        <v>5</v>
      </c>
      <c r="H494" s="6" t="s">
        <v>40</v>
      </c>
      <c r="I494" s="23">
        <v>11338.7</v>
      </c>
      <c r="J494" s="23">
        <v>9855.9599999999991</v>
      </c>
      <c r="K494" s="23">
        <v>794</v>
      </c>
      <c r="L494" s="23"/>
      <c r="M494" s="23">
        <f>-165+2743.55</f>
        <v>2578.5500000000002</v>
      </c>
      <c r="N494" s="23">
        <v>252.68</v>
      </c>
      <c r="O494" s="23">
        <f>+Table24[[#This Row],[FoodcostBlueline]]+Table24[[#This Row],[Pepsico]]</f>
        <v>2831.23</v>
      </c>
      <c r="P494" s="24">
        <f t="shared" si="22"/>
        <v>0.24969617328265142</v>
      </c>
      <c r="Q494" s="24"/>
      <c r="R494" s="37">
        <f>2282.43+800</f>
        <v>3082.43</v>
      </c>
      <c r="S494" s="25">
        <f t="shared" si="23"/>
        <v>0.27185038849250792</v>
      </c>
      <c r="T494" s="36"/>
      <c r="U494" s="36">
        <f>Table24[[#This Row],[WagesPercent]]+Table24[[#This Row],[FoodCostPercent]]</f>
        <v>0.52154656177515935</v>
      </c>
      <c r="V494" s="36"/>
    </row>
    <row r="495" spans="1:22" x14ac:dyDescent="0.25">
      <c r="A495" s="20">
        <v>494</v>
      </c>
      <c r="B495" s="21" t="s">
        <v>105</v>
      </c>
      <c r="C495" s="21" t="s">
        <v>102</v>
      </c>
      <c r="D495" s="6" t="s">
        <v>59</v>
      </c>
      <c r="E495" s="6">
        <v>3804032</v>
      </c>
      <c r="F495" s="6" t="s">
        <v>37</v>
      </c>
      <c r="G495" s="6" t="s">
        <v>5</v>
      </c>
      <c r="H495" s="6" t="s">
        <v>40</v>
      </c>
      <c r="I495" s="23">
        <v>10697.44</v>
      </c>
      <c r="J495" s="23">
        <v>5191.58</v>
      </c>
      <c r="K495" s="23">
        <v>712</v>
      </c>
      <c r="L495" s="23"/>
      <c r="M495" s="23">
        <f>2524.33-117</f>
        <v>2407.33</v>
      </c>
      <c r="N495" s="23">
        <v>189.09</v>
      </c>
      <c r="O495" s="23">
        <f>+Table24[[#This Row],[FoodcostBlueline]]+Table24[[#This Row],[Pepsico]]</f>
        <v>2596.42</v>
      </c>
      <c r="P495" s="24">
        <f t="shared" si="22"/>
        <v>0.24271414469256195</v>
      </c>
      <c r="Q495" s="24"/>
      <c r="R495" s="23">
        <f>1630+850+200</f>
        <v>2680</v>
      </c>
      <c r="S495" s="25">
        <f t="shared" si="23"/>
        <v>0.25052722894449514</v>
      </c>
      <c r="T495" s="36"/>
      <c r="U495" s="36">
        <f>Table24[[#This Row],[WagesPercent]]+Table24[[#This Row],[FoodCostPercent]]</f>
        <v>0.49324137363705711</v>
      </c>
      <c r="V495" s="36"/>
    </row>
    <row r="496" spans="1:22" x14ac:dyDescent="0.25">
      <c r="A496" s="20">
        <v>495</v>
      </c>
      <c r="B496" s="21" t="s">
        <v>105</v>
      </c>
      <c r="C496" s="21" t="s">
        <v>102</v>
      </c>
      <c r="D496" s="6" t="s">
        <v>59</v>
      </c>
      <c r="E496" s="6">
        <v>3804033</v>
      </c>
      <c r="F496" s="6" t="s">
        <v>38</v>
      </c>
      <c r="G496" s="6" t="s">
        <v>5</v>
      </c>
      <c r="H496" s="6" t="s">
        <v>40</v>
      </c>
      <c r="I496" s="23">
        <v>9005.77</v>
      </c>
      <c r="J496" s="23">
        <v>8362.49</v>
      </c>
      <c r="K496" s="23">
        <v>684</v>
      </c>
      <c r="L496" s="23"/>
      <c r="M496" s="23">
        <f>2219.27-42</f>
        <v>2177.27</v>
      </c>
      <c r="N496" s="23">
        <v>219.3</v>
      </c>
      <c r="O496" s="23">
        <f>+Table24[[#This Row],[FoodcostBlueline]]+Table24[[#This Row],[Pepsico]]</f>
        <v>2396.5700000000002</v>
      </c>
      <c r="P496" s="24">
        <f t="shared" si="22"/>
        <v>0.26611494630664562</v>
      </c>
      <c r="Q496" s="24"/>
      <c r="R496" s="23">
        <f>1350+850+165.58</f>
        <v>2365.58</v>
      </c>
      <c r="S496" s="25">
        <f t="shared" si="23"/>
        <v>0.26267381911818755</v>
      </c>
      <c r="T496" s="36"/>
      <c r="U496" s="36">
        <f>Table24[[#This Row],[WagesPercent]]+Table24[[#This Row],[FoodCostPercent]]</f>
        <v>0.52878876542483311</v>
      </c>
      <c r="V496" s="36"/>
    </row>
    <row r="497" spans="1:22" x14ac:dyDescent="0.25">
      <c r="A497" s="20">
        <v>496</v>
      </c>
      <c r="B497" s="21" t="s">
        <v>105</v>
      </c>
      <c r="C497" s="21" t="s">
        <v>102</v>
      </c>
      <c r="D497" s="6" t="s">
        <v>59</v>
      </c>
      <c r="E497" s="6">
        <v>3804034</v>
      </c>
      <c r="F497" s="6" t="s">
        <v>53</v>
      </c>
      <c r="G497" s="6" t="s">
        <v>79</v>
      </c>
      <c r="H497" s="6" t="s">
        <v>41</v>
      </c>
      <c r="I497" s="23">
        <v>9040.3799999999992</v>
      </c>
      <c r="J497" s="23">
        <v>12764.76</v>
      </c>
      <c r="K497" s="23">
        <v>530</v>
      </c>
      <c r="L497" s="23"/>
      <c r="M497" s="23">
        <f>2174.01-57</f>
        <v>2117.0100000000002</v>
      </c>
      <c r="N497" s="23">
        <v>179.68</v>
      </c>
      <c r="O497" s="23">
        <f>+Table24[[#This Row],[FoodcostBlueline]]+Table24[[#This Row],[Pepsico]]</f>
        <v>2296.69</v>
      </c>
      <c r="P497" s="24">
        <f t="shared" si="22"/>
        <v>0.25404794931186525</v>
      </c>
      <c r="Q497" s="24"/>
      <c r="R497" s="23">
        <v>2400</v>
      </c>
      <c r="S497" s="25">
        <f t="shared" si="23"/>
        <v>0.26547556629256736</v>
      </c>
      <c r="T497" s="36"/>
      <c r="U497" s="36">
        <f>Table24[[#This Row],[WagesPercent]]+Table24[[#This Row],[FoodCostPercent]]</f>
        <v>0.51952351560443266</v>
      </c>
      <c r="V497" s="36"/>
    </row>
    <row r="498" spans="1:22" x14ac:dyDescent="0.25">
      <c r="A498" s="20">
        <v>497</v>
      </c>
      <c r="B498" s="21" t="s">
        <v>106</v>
      </c>
      <c r="C498" s="21" t="s">
        <v>107</v>
      </c>
      <c r="D498" s="6" t="s">
        <v>60</v>
      </c>
      <c r="E498" s="6">
        <v>3804001</v>
      </c>
      <c r="F498" s="6" t="s">
        <v>4</v>
      </c>
      <c r="G498" s="6" t="s">
        <v>5</v>
      </c>
      <c r="H498" s="6" t="s">
        <v>40</v>
      </c>
      <c r="I498" s="23">
        <v>27339.22</v>
      </c>
      <c r="J498" s="23">
        <v>29322</v>
      </c>
      <c r="K498" s="23">
        <v>1792</v>
      </c>
      <c r="L498" s="23"/>
      <c r="M498" s="23">
        <f>7913.45-12.35</f>
        <v>7901.0999999999995</v>
      </c>
      <c r="N498" s="23">
        <v>866.47</v>
      </c>
      <c r="O498" s="23">
        <f>+Table24[[#This Row],[FoodcostBlueline]]+Table24[[#This Row],[Pepsico]]</f>
        <v>8767.57</v>
      </c>
      <c r="P498" s="24">
        <f t="shared" si="22"/>
        <v>0.3206956891966925</v>
      </c>
      <c r="Q498" s="24"/>
      <c r="R498" s="23">
        <f>4525.21+165.58</f>
        <v>4690.79</v>
      </c>
      <c r="S498" s="25">
        <f t="shared" si="23"/>
        <v>0.17157731639746854</v>
      </c>
      <c r="T498" s="36"/>
      <c r="U498" s="36">
        <f>Table24[[#This Row],[WagesPercent]]+Table24[[#This Row],[FoodCostPercent]]</f>
        <v>0.49227300559416104</v>
      </c>
      <c r="V498" s="36"/>
    </row>
    <row r="499" spans="1:22" x14ac:dyDescent="0.25">
      <c r="A499" s="20">
        <v>498</v>
      </c>
      <c r="B499" s="21" t="s">
        <v>106</v>
      </c>
      <c r="C499" s="21" t="s">
        <v>107</v>
      </c>
      <c r="D499" s="6" t="s">
        <v>60</v>
      </c>
      <c r="E499" s="6">
        <v>3804002</v>
      </c>
      <c r="F499" s="6" t="s">
        <v>6</v>
      </c>
      <c r="G499" s="6" t="s">
        <v>7</v>
      </c>
      <c r="H499" s="6" t="s">
        <v>41</v>
      </c>
      <c r="I499" s="23">
        <v>13596.44</v>
      </c>
      <c r="J499" s="23">
        <v>16735.13</v>
      </c>
      <c r="K499" s="23">
        <v>1027</v>
      </c>
      <c r="L499" s="23"/>
      <c r="M499" s="23">
        <f>3588.3+187.2</f>
        <v>3775.5</v>
      </c>
      <c r="N499" s="23">
        <v>508.04</v>
      </c>
      <c r="O499" s="23">
        <f>+Table24[[#This Row],[FoodcostBlueline]]+Table24[[#This Row],[Pepsico]]</f>
        <v>4283.54</v>
      </c>
      <c r="P499" s="24">
        <f t="shared" si="22"/>
        <v>0.31504864508650793</v>
      </c>
      <c r="Q499" s="24"/>
      <c r="R499" s="23">
        <v>3016.52</v>
      </c>
      <c r="S499" s="25">
        <f t="shared" si="23"/>
        <v>0.22186101656021723</v>
      </c>
      <c r="T499" s="36"/>
      <c r="U499" s="36">
        <f>Table24[[#This Row],[WagesPercent]]+Table24[[#This Row],[FoodCostPercent]]</f>
        <v>0.53690966164672516</v>
      </c>
      <c r="V499" s="36"/>
    </row>
    <row r="500" spans="1:22" x14ac:dyDescent="0.25">
      <c r="A500" s="20">
        <v>499</v>
      </c>
      <c r="B500" s="21" t="s">
        <v>106</v>
      </c>
      <c r="C500" s="21" t="s">
        <v>107</v>
      </c>
      <c r="D500" s="6" t="s">
        <v>60</v>
      </c>
      <c r="E500" s="6">
        <v>3804003</v>
      </c>
      <c r="F500" s="6" t="s">
        <v>8</v>
      </c>
      <c r="G500" s="6" t="s">
        <v>7</v>
      </c>
      <c r="H500" s="6" t="s">
        <v>41</v>
      </c>
      <c r="I500" s="23">
        <v>12505.96</v>
      </c>
      <c r="J500" s="23">
        <v>10878.81</v>
      </c>
      <c r="K500" s="23">
        <v>791</v>
      </c>
      <c r="L500" s="23"/>
      <c r="M500" s="23">
        <v>3758.99</v>
      </c>
      <c r="N500" s="23">
        <v>272.26</v>
      </c>
      <c r="O500" s="23">
        <f>+Table24[[#This Row],[FoodcostBlueline]]+Table24[[#This Row],[Pepsico]]</f>
        <v>4031.25</v>
      </c>
      <c r="P500" s="24">
        <f t="shared" si="22"/>
        <v>0.32234630528164171</v>
      </c>
      <c r="Q500" s="24"/>
      <c r="R500" s="23">
        <v>2766.89</v>
      </c>
      <c r="S500" s="25">
        <f t="shared" si="23"/>
        <v>0.22124571004545032</v>
      </c>
      <c r="T500" s="36"/>
      <c r="U500" s="36">
        <f>Table24[[#This Row],[WagesPercent]]+Table24[[#This Row],[FoodCostPercent]]</f>
        <v>0.543592015327092</v>
      </c>
      <c r="V500" s="36"/>
    </row>
    <row r="501" spans="1:22" x14ac:dyDescent="0.25">
      <c r="A501" s="20">
        <v>500</v>
      </c>
      <c r="B501" s="21" t="s">
        <v>106</v>
      </c>
      <c r="C501" s="21" t="s">
        <v>107</v>
      </c>
      <c r="D501" s="6" t="s">
        <v>60</v>
      </c>
      <c r="E501" s="6">
        <v>3804004</v>
      </c>
      <c r="F501" s="6" t="s">
        <v>9</v>
      </c>
      <c r="G501" s="6" t="s">
        <v>7</v>
      </c>
      <c r="H501" s="6" t="s">
        <v>41</v>
      </c>
      <c r="I501" s="23">
        <v>16662.59</v>
      </c>
      <c r="J501" s="23">
        <v>15173.07</v>
      </c>
      <c r="K501" s="23">
        <v>1122</v>
      </c>
      <c r="L501" s="23"/>
      <c r="M501" s="23">
        <f>4409.71+133.99</f>
        <v>4543.7</v>
      </c>
      <c r="N501" s="23">
        <v>431.8</v>
      </c>
      <c r="O501" s="23">
        <f>+Table24[[#This Row],[FoodcostBlueline]]+Table24[[#This Row],[Pepsico]]</f>
        <v>4975.5</v>
      </c>
      <c r="P501" s="24">
        <f t="shared" si="22"/>
        <v>0.29860303830316898</v>
      </c>
      <c r="Q501" s="24"/>
      <c r="R501" s="23">
        <v>3878.45</v>
      </c>
      <c r="S501" s="25">
        <f t="shared" si="23"/>
        <v>0.23276393405827064</v>
      </c>
      <c r="T501" s="36"/>
      <c r="U501" s="36">
        <f>Table24[[#This Row],[WagesPercent]]+Table24[[#This Row],[FoodCostPercent]]</f>
        <v>0.53136697236143959</v>
      </c>
      <c r="V501" s="36"/>
    </row>
    <row r="502" spans="1:22" x14ac:dyDescent="0.25">
      <c r="A502" s="20">
        <v>501</v>
      </c>
      <c r="B502" s="21" t="s">
        <v>106</v>
      </c>
      <c r="C502" s="21" t="s">
        <v>107</v>
      </c>
      <c r="D502" s="6" t="s">
        <v>60</v>
      </c>
      <c r="E502" s="6">
        <v>3804005</v>
      </c>
      <c r="F502" s="6" t="s">
        <v>10</v>
      </c>
      <c r="G502" s="6" t="s">
        <v>7</v>
      </c>
      <c r="H502" s="6" t="s">
        <v>41</v>
      </c>
      <c r="I502" s="23">
        <v>11396.41</v>
      </c>
      <c r="J502" s="23">
        <v>15209.61</v>
      </c>
      <c r="K502" s="23">
        <v>723</v>
      </c>
      <c r="L502" s="23"/>
      <c r="M502" s="23">
        <f>3636.56+187.2</f>
        <v>3823.7599999999998</v>
      </c>
      <c r="N502" s="23">
        <v>712.89</v>
      </c>
      <c r="O502" s="23">
        <f>+Table24[[#This Row],[FoodcostBlueline]]+Table24[[#This Row],[Pepsico]]</f>
        <v>4536.6499999999996</v>
      </c>
      <c r="P502" s="24">
        <f t="shared" si="22"/>
        <v>0.39807711375775351</v>
      </c>
      <c r="Q502" s="24"/>
      <c r="R502" s="23">
        <v>2910.35</v>
      </c>
      <c r="S502" s="25">
        <f t="shared" si="23"/>
        <v>0.25537428014611618</v>
      </c>
      <c r="T502" s="36"/>
      <c r="U502" s="36">
        <f>Table24[[#This Row],[WagesPercent]]+Table24[[#This Row],[FoodCostPercent]]</f>
        <v>0.65345139390386975</v>
      </c>
      <c r="V502" s="36"/>
    </row>
    <row r="503" spans="1:22" x14ac:dyDescent="0.25">
      <c r="A503" s="20">
        <v>502</v>
      </c>
      <c r="B503" s="21" t="s">
        <v>106</v>
      </c>
      <c r="C503" s="21" t="s">
        <v>107</v>
      </c>
      <c r="D503" s="6" t="s">
        <v>60</v>
      </c>
      <c r="E503" s="6">
        <v>3804006</v>
      </c>
      <c r="F503" s="6" t="s">
        <v>11</v>
      </c>
      <c r="G503" s="6" t="s">
        <v>7</v>
      </c>
      <c r="H503" s="6" t="s">
        <v>41</v>
      </c>
      <c r="I503" s="23">
        <v>8027.13</v>
      </c>
      <c r="J503" s="23">
        <v>10424.42</v>
      </c>
      <c r="K503" s="23">
        <v>603</v>
      </c>
      <c r="L503" s="23"/>
      <c r="M503" s="23">
        <f>1611.31+112.32</f>
        <v>1723.6299999999999</v>
      </c>
      <c r="N503" s="23">
        <v>769.18</v>
      </c>
      <c r="O503" s="23">
        <f>+Table24[[#This Row],[FoodcostBlueline]]+Table24[[#This Row],[Pepsico]]</f>
        <v>2492.81</v>
      </c>
      <c r="P503" s="24">
        <f t="shared" si="22"/>
        <v>0.31054810374318093</v>
      </c>
      <c r="Q503" s="24"/>
      <c r="R503" s="23">
        <v>1787.1</v>
      </c>
      <c r="S503" s="25">
        <f t="shared" si="23"/>
        <v>0.22263249754270828</v>
      </c>
      <c r="T503" s="36"/>
      <c r="U503" s="36">
        <f>Table24[[#This Row],[WagesPercent]]+Table24[[#This Row],[FoodCostPercent]]</f>
        <v>0.53318060128588918</v>
      </c>
      <c r="V503" s="36"/>
    </row>
    <row r="504" spans="1:22" x14ac:dyDescent="0.25">
      <c r="A504" s="20">
        <v>503</v>
      </c>
      <c r="B504" s="21" t="s">
        <v>106</v>
      </c>
      <c r="C504" s="21" t="s">
        <v>107</v>
      </c>
      <c r="D504" s="6" t="s">
        <v>60</v>
      </c>
      <c r="E504" s="6">
        <v>3804008</v>
      </c>
      <c r="F504" s="6" t="s">
        <v>12</v>
      </c>
      <c r="G504" s="6" t="s">
        <v>42</v>
      </c>
      <c r="H504" s="6" t="s">
        <v>41</v>
      </c>
      <c r="I504" s="23">
        <v>21374.12</v>
      </c>
      <c r="J504" s="23">
        <v>21508.81</v>
      </c>
      <c r="K504" s="23">
        <v>1380</v>
      </c>
      <c r="L504" s="23"/>
      <c r="M504" s="23">
        <v>5939.81</v>
      </c>
      <c r="N504" s="23">
        <v>345.31</v>
      </c>
      <c r="O504" s="23">
        <f>+Table24[[#This Row],[FoodcostBlueline]]+Table24[[#This Row],[Pepsico]]</f>
        <v>6285.1200000000008</v>
      </c>
      <c r="P504" s="24">
        <f t="shared" si="22"/>
        <v>0.29405280778811016</v>
      </c>
      <c r="Q504" s="24"/>
      <c r="R504" s="23">
        <v>5361</v>
      </c>
      <c r="S504" s="25">
        <f t="shared" si="23"/>
        <v>0.25081734359122154</v>
      </c>
      <c r="T504" s="36"/>
      <c r="U504" s="36">
        <f>Table24[[#This Row],[WagesPercent]]+Table24[[#This Row],[FoodCostPercent]]</f>
        <v>0.5448701513793317</v>
      </c>
      <c r="V504" s="36"/>
    </row>
    <row r="505" spans="1:22" x14ac:dyDescent="0.25">
      <c r="A505" s="20">
        <v>504</v>
      </c>
      <c r="B505" s="21" t="s">
        <v>106</v>
      </c>
      <c r="C505" s="21" t="s">
        <v>107</v>
      </c>
      <c r="D505" s="6" t="s">
        <v>60</v>
      </c>
      <c r="E505" s="6">
        <v>3804009</v>
      </c>
      <c r="F505" s="6" t="s">
        <v>13</v>
      </c>
      <c r="G505" s="6" t="s">
        <v>42</v>
      </c>
      <c r="H505" s="6" t="s">
        <v>41</v>
      </c>
      <c r="I505" s="23">
        <v>16754.45</v>
      </c>
      <c r="J505" s="23">
        <v>16129.3</v>
      </c>
      <c r="K505" s="23">
        <v>1069</v>
      </c>
      <c r="L505" s="23"/>
      <c r="M505" s="23">
        <f>4567.05-12.35</f>
        <v>4554.7</v>
      </c>
      <c r="N505" s="23">
        <v>559.72</v>
      </c>
      <c r="O505" s="23">
        <f>+Table24[[#This Row],[FoodcostBlueline]]+Table24[[#This Row],[Pepsico]]</f>
        <v>5114.42</v>
      </c>
      <c r="P505" s="24">
        <f t="shared" si="22"/>
        <v>0.30525740922560873</v>
      </c>
      <c r="Q505" s="24"/>
      <c r="R505" s="23">
        <v>4543</v>
      </c>
      <c r="S505" s="25">
        <f t="shared" si="23"/>
        <v>0.27115184324164626</v>
      </c>
      <c r="T505" s="36"/>
      <c r="U505" s="36">
        <f>Table24[[#This Row],[WagesPercent]]+Table24[[#This Row],[FoodCostPercent]]</f>
        <v>0.57640925246725505</v>
      </c>
      <c r="V505" s="36"/>
    </row>
    <row r="506" spans="1:22" x14ac:dyDescent="0.25">
      <c r="A506" s="20">
        <v>505</v>
      </c>
      <c r="B506" s="21" t="s">
        <v>106</v>
      </c>
      <c r="C506" s="21" t="s">
        <v>107</v>
      </c>
      <c r="D506" s="6" t="s">
        <v>60</v>
      </c>
      <c r="E506" s="6">
        <v>3804010</v>
      </c>
      <c r="F506" s="6" t="s">
        <v>14</v>
      </c>
      <c r="G506" s="6" t="s">
        <v>42</v>
      </c>
      <c r="H506" s="6" t="s">
        <v>41</v>
      </c>
      <c r="I506" s="23">
        <v>8286.9</v>
      </c>
      <c r="J506" s="23">
        <v>9621.36</v>
      </c>
      <c r="K506" s="23">
        <v>487</v>
      </c>
      <c r="L506" s="23"/>
      <c r="M506" s="23">
        <f>2453.77-12.35</f>
        <v>2441.42</v>
      </c>
      <c r="N506" s="23">
        <v>0</v>
      </c>
      <c r="O506" s="23">
        <f>+Table24[[#This Row],[FoodcostBlueline]]+Table24[[#This Row],[Pepsico]]</f>
        <v>2441.42</v>
      </c>
      <c r="P506" s="24">
        <f t="shared" si="22"/>
        <v>0.29461197794108779</v>
      </c>
      <c r="Q506" s="24"/>
      <c r="R506" s="23">
        <v>1252</v>
      </c>
      <c r="S506" s="25">
        <f t="shared" si="23"/>
        <v>0.15108182794531128</v>
      </c>
      <c r="T506" s="36"/>
      <c r="U506" s="36">
        <f>Table24[[#This Row],[WagesPercent]]+Table24[[#This Row],[FoodCostPercent]]</f>
        <v>0.44569380588639906</v>
      </c>
      <c r="V506" s="36"/>
    </row>
    <row r="507" spans="1:22" x14ac:dyDescent="0.25">
      <c r="A507" s="20">
        <v>506</v>
      </c>
      <c r="B507" s="21" t="s">
        <v>106</v>
      </c>
      <c r="C507" s="21" t="s">
        <v>107</v>
      </c>
      <c r="D507" s="6" t="s">
        <v>60</v>
      </c>
      <c r="E507" s="6">
        <v>3804011</v>
      </c>
      <c r="F507" s="6" t="s">
        <v>15</v>
      </c>
      <c r="G507" s="6" t="s">
        <v>79</v>
      </c>
      <c r="H507" s="6" t="s">
        <v>41</v>
      </c>
      <c r="I507" s="23">
        <v>29195.18</v>
      </c>
      <c r="J507" s="23">
        <v>24168.1</v>
      </c>
      <c r="K507" s="23">
        <v>1821</v>
      </c>
      <c r="L507" s="23"/>
      <c r="M507" s="23">
        <v>7595.73</v>
      </c>
      <c r="N507" s="23">
        <v>762.03</v>
      </c>
      <c r="O507" s="23">
        <f>+Table24[[#This Row],[FoodcostBlueline]]+Table24[[#This Row],[Pepsico]]</f>
        <v>8357.76</v>
      </c>
      <c r="P507" s="24">
        <f t="shared" si="22"/>
        <v>0.28627191200739299</v>
      </c>
      <c r="Q507" s="24"/>
      <c r="R507" s="23">
        <f>3338.76+650</f>
        <v>3988.76</v>
      </c>
      <c r="S507" s="25">
        <f t="shared" si="23"/>
        <v>0.13662392216797431</v>
      </c>
      <c r="T507" s="36"/>
      <c r="U507" s="36">
        <f>Table24[[#This Row],[WagesPercent]]+Table24[[#This Row],[FoodCostPercent]]</f>
        <v>0.4228958341753673</v>
      </c>
      <c r="V507" s="36"/>
    </row>
    <row r="508" spans="1:22" x14ac:dyDescent="0.25">
      <c r="A508" s="20">
        <v>507</v>
      </c>
      <c r="B508" s="21" t="s">
        <v>106</v>
      </c>
      <c r="C508" s="21" t="s">
        <v>107</v>
      </c>
      <c r="D508" s="6" t="s">
        <v>60</v>
      </c>
      <c r="E508" s="6">
        <v>3804013</v>
      </c>
      <c r="F508" s="6" t="s">
        <v>17</v>
      </c>
      <c r="G508" s="6" t="s">
        <v>79</v>
      </c>
      <c r="H508" s="6" t="s">
        <v>41</v>
      </c>
      <c r="I508" s="23">
        <v>8420.5</v>
      </c>
      <c r="J508" s="23">
        <v>8469.0499999999993</v>
      </c>
      <c r="K508" s="23">
        <v>541</v>
      </c>
      <c r="L508" s="23"/>
      <c r="M508" s="23">
        <v>2957.17</v>
      </c>
      <c r="N508" s="23">
        <v>599.39</v>
      </c>
      <c r="O508" s="23">
        <f>+Table24[[#This Row],[FoodcostBlueline]]+Table24[[#This Row],[Pepsico]]</f>
        <v>3556.56</v>
      </c>
      <c r="P508" s="24">
        <f t="shared" si="22"/>
        <v>0.42236921797992993</v>
      </c>
      <c r="Q508" s="24"/>
      <c r="R508" s="23">
        <v>2355.48</v>
      </c>
      <c r="S508" s="25">
        <f t="shared" si="23"/>
        <v>0.27973160738673475</v>
      </c>
      <c r="T508" s="36"/>
      <c r="U508" s="36">
        <f>Table24[[#This Row],[WagesPercent]]+Table24[[#This Row],[FoodCostPercent]]</f>
        <v>0.70210082536666474</v>
      </c>
      <c r="V508" s="36"/>
    </row>
    <row r="509" spans="1:22" x14ac:dyDescent="0.25">
      <c r="A509" s="20">
        <v>508</v>
      </c>
      <c r="B509" s="21" t="s">
        <v>106</v>
      </c>
      <c r="C509" s="21" t="s">
        <v>107</v>
      </c>
      <c r="D509" s="6" t="s">
        <v>60</v>
      </c>
      <c r="E509" s="6">
        <v>3804014</v>
      </c>
      <c r="F509" s="6" t="s">
        <v>18</v>
      </c>
      <c r="G509" s="6" t="s">
        <v>79</v>
      </c>
      <c r="H509" s="6" t="s">
        <v>41</v>
      </c>
      <c r="I509" s="23">
        <v>7688.45</v>
      </c>
      <c r="J509" s="23">
        <v>7886.8</v>
      </c>
      <c r="K509" s="23">
        <v>490</v>
      </c>
      <c r="L509" s="23"/>
      <c r="M509" s="23">
        <v>2486.65</v>
      </c>
      <c r="N509" s="23">
        <v>209.23</v>
      </c>
      <c r="O509" s="23">
        <f>+Table24[[#This Row],[FoodcostBlueline]]+Table24[[#This Row],[Pepsico]]</f>
        <v>2695.88</v>
      </c>
      <c r="P509" s="24">
        <f t="shared" si="22"/>
        <v>0.35064024608341088</v>
      </c>
      <c r="Q509" s="24"/>
      <c r="R509" s="23">
        <v>2195.2199999999998</v>
      </c>
      <c r="S509" s="25">
        <f t="shared" si="23"/>
        <v>0.28552178917727239</v>
      </c>
      <c r="T509" s="36"/>
      <c r="U509" s="36">
        <f>Table24[[#This Row],[WagesPercent]]+Table24[[#This Row],[FoodCostPercent]]</f>
        <v>0.63616203526068327</v>
      </c>
      <c r="V509" s="36"/>
    </row>
    <row r="510" spans="1:22" x14ac:dyDescent="0.25">
      <c r="A510" s="20">
        <v>509</v>
      </c>
      <c r="B510" s="21" t="s">
        <v>106</v>
      </c>
      <c r="C510" s="21" t="s">
        <v>107</v>
      </c>
      <c r="D510" s="6" t="s">
        <v>60</v>
      </c>
      <c r="E510" s="6">
        <v>3804015</v>
      </c>
      <c r="F510" s="6" t="s">
        <v>19</v>
      </c>
      <c r="G510" s="6" t="s">
        <v>20</v>
      </c>
      <c r="H510" s="6" t="s">
        <v>41</v>
      </c>
      <c r="I510" s="23">
        <v>14562.95</v>
      </c>
      <c r="J510" s="23">
        <v>17100.59</v>
      </c>
      <c r="K510" s="23">
        <v>957</v>
      </c>
      <c r="L510" s="23"/>
      <c r="M510" s="23">
        <v>4437.3100000000004</v>
      </c>
      <c r="N510" s="23">
        <v>306.87</v>
      </c>
      <c r="O510" s="23">
        <f>+Table24[[#This Row],[FoodcostBlueline]]+Table24[[#This Row],[Pepsico]]</f>
        <v>4744.18</v>
      </c>
      <c r="P510" s="24">
        <f t="shared" si="22"/>
        <v>0.32577053412941748</v>
      </c>
      <c r="Q510" s="24"/>
      <c r="R510" s="23">
        <v>4100.79</v>
      </c>
      <c r="S510" s="25">
        <f t="shared" si="23"/>
        <v>0.28159061179225359</v>
      </c>
      <c r="T510" s="36"/>
      <c r="U510" s="36">
        <f>Table24[[#This Row],[WagesPercent]]+Table24[[#This Row],[FoodCostPercent]]</f>
        <v>0.60736114592167101</v>
      </c>
      <c r="V510" s="36"/>
    </row>
    <row r="511" spans="1:22" x14ac:dyDescent="0.25">
      <c r="A511" s="20">
        <v>510</v>
      </c>
      <c r="B511" s="21" t="s">
        <v>106</v>
      </c>
      <c r="C511" s="21" t="s">
        <v>107</v>
      </c>
      <c r="D511" s="6" t="s">
        <v>60</v>
      </c>
      <c r="E511" s="6">
        <v>3804016</v>
      </c>
      <c r="F511" s="6" t="s">
        <v>21</v>
      </c>
      <c r="G511" s="6" t="s">
        <v>22</v>
      </c>
      <c r="H511" s="6" t="s">
        <v>40</v>
      </c>
      <c r="I511" s="23">
        <v>13954.87</v>
      </c>
      <c r="J511" s="23">
        <v>15224.64</v>
      </c>
      <c r="K511" s="23">
        <v>821</v>
      </c>
      <c r="L511" s="23"/>
      <c r="M511" s="23">
        <v>3498.14</v>
      </c>
      <c r="N511" s="23">
        <v>246.15</v>
      </c>
      <c r="O511" s="23">
        <f>+Table24[[#This Row],[FoodcostBlueline]]+Table24[[#This Row],[Pepsico]]</f>
        <v>3744.29</v>
      </c>
      <c r="P511" s="24">
        <f t="shared" si="22"/>
        <v>0.26831421575407005</v>
      </c>
      <c r="Q511" s="24"/>
      <c r="R511" s="23">
        <v>2883.12</v>
      </c>
      <c r="S511" s="25">
        <f t="shared" si="23"/>
        <v>0.20660314284547257</v>
      </c>
      <c r="T511" s="36"/>
      <c r="U511" s="36">
        <f>Table24[[#This Row],[WagesPercent]]+Table24[[#This Row],[FoodCostPercent]]</f>
        <v>0.47491735859954265</v>
      </c>
      <c r="V511" s="36"/>
    </row>
    <row r="512" spans="1:22" x14ac:dyDescent="0.25">
      <c r="A512" s="20">
        <v>511</v>
      </c>
      <c r="B512" s="21" t="s">
        <v>106</v>
      </c>
      <c r="C512" s="21" t="s">
        <v>107</v>
      </c>
      <c r="D512" s="6" t="s">
        <v>60</v>
      </c>
      <c r="E512" s="6">
        <v>3804017</v>
      </c>
      <c r="F512" s="6" t="s">
        <v>23</v>
      </c>
      <c r="G512" s="6" t="s">
        <v>22</v>
      </c>
      <c r="H512" s="6" t="s">
        <v>40</v>
      </c>
      <c r="I512" s="23">
        <v>20678.55</v>
      </c>
      <c r="J512" s="23">
        <v>25836.69</v>
      </c>
      <c r="K512" s="23">
        <v>1298</v>
      </c>
      <c r="L512" s="23"/>
      <c r="M512" s="23">
        <v>5465.11</v>
      </c>
      <c r="N512" s="23">
        <v>465.16</v>
      </c>
      <c r="O512" s="23">
        <f>+Table24[[#This Row],[FoodcostBlueline]]+Table24[[#This Row],[Pepsico]]</f>
        <v>5930.2699999999995</v>
      </c>
      <c r="P512" s="24">
        <f t="shared" si="22"/>
        <v>0.28678364778961773</v>
      </c>
      <c r="Q512" s="24"/>
      <c r="R512" s="23">
        <v>3698.71</v>
      </c>
      <c r="S512" s="25">
        <f t="shared" si="23"/>
        <v>0.17886699019031799</v>
      </c>
      <c r="T512" s="36"/>
      <c r="U512" s="36">
        <f>Table24[[#This Row],[WagesPercent]]+Table24[[#This Row],[FoodCostPercent]]</f>
        <v>0.46565063797993572</v>
      </c>
      <c r="V512" s="36"/>
    </row>
    <row r="513" spans="1:22" x14ac:dyDescent="0.25">
      <c r="A513" s="20">
        <v>512</v>
      </c>
      <c r="B513" s="21" t="s">
        <v>106</v>
      </c>
      <c r="C513" s="21" t="s">
        <v>107</v>
      </c>
      <c r="D513" s="6" t="s">
        <v>60</v>
      </c>
      <c r="E513" s="6">
        <v>3804018</v>
      </c>
      <c r="F513" s="6" t="s">
        <v>24</v>
      </c>
      <c r="G513" s="6" t="s">
        <v>20</v>
      </c>
      <c r="H513" s="6" t="s">
        <v>41</v>
      </c>
      <c r="I513" s="23">
        <v>22273.14</v>
      </c>
      <c r="J513" s="23">
        <v>22063.52</v>
      </c>
      <c r="K513" s="23">
        <v>1299</v>
      </c>
      <c r="L513" s="23"/>
      <c r="M513" s="23">
        <v>5702.56</v>
      </c>
      <c r="N513" s="23">
        <v>0</v>
      </c>
      <c r="O513" s="23">
        <f>+Table24[[#This Row],[FoodcostBlueline]]+Table24[[#This Row],[Pepsico]]</f>
        <v>5702.56</v>
      </c>
      <c r="P513" s="24">
        <f t="shared" si="22"/>
        <v>0.2560285617564475</v>
      </c>
      <c r="Q513" s="24"/>
      <c r="R513" s="23">
        <v>4269.82</v>
      </c>
      <c r="S513" s="25">
        <f t="shared" si="23"/>
        <v>0.19170265171412743</v>
      </c>
      <c r="T513" s="36"/>
      <c r="U513" s="36">
        <f>Table24[[#This Row],[WagesPercent]]+Table24[[#This Row],[FoodCostPercent]]</f>
        <v>0.44773121347057493</v>
      </c>
      <c r="V513" s="36"/>
    </row>
    <row r="514" spans="1:22" x14ac:dyDescent="0.25">
      <c r="A514" s="20">
        <v>513</v>
      </c>
      <c r="B514" s="21" t="s">
        <v>106</v>
      </c>
      <c r="C514" s="21" t="s">
        <v>107</v>
      </c>
      <c r="D514" s="6" t="s">
        <v>60</v>
      </c>
      <c r="E514" s="6">
        <v>3804019</v>
      </c>
      <c r="F514" s="6" t="s">
        <v>25</v>
      </c>
      <c r="G514" s="6" t="s">
        <v>20</v>
      </c>
      <c r="H514" s="6" t="s">
        <v>41</v>
      </c>
      <c r="I514" s="37">
        <v>14418.99</v>
      </c>
      <c r="J514" s="23">
        <v>14206.89</v>
      </c>
      <c r="K514" s="23">
        <v>904</v>
      </c>
      <c r="L514" s="23"/>
      <c r="M514" s="23">
        <v>3713.81</v>
      </c>
      <c r="N514" s="23">
        <v>152.61000000000001</v>
      </c>
      <c r="O514" s="23">
        <f>+Table24[[#This Row],[FoodcostBlueline]]+Table24[[#This Row],[Pepsico]]</f>
        <v>3866.42</v>
      </c>
      <c r="P514" s="24">
        <f t="shared" ref="P514:P577" si="24">IFERROR(((M514+N514)/I514),0)</f>
        <v>0.26814776901849574</v>
      </c>
      <c r="Q514" s="24"/>
      <c r="R514" s="23">
        <v>4119.53</v>
      </c>
      <c r="S514" s="25">
        <f t="shared" ref="S514:S577" si="25">+R514/I514</f>
        <v>0.28570170310125742</v>
      </c>
      <c r="T514" s="36"/>
      <c r="U514" s="36">
        <f>Table24[[#This Row],[WagesPercent]]+Table24[[#This Row],[FoodCostPercent]]</f>
        <v>0.55384947211975311</v>
      </c>
      <c r="V514" s="36"/>
    </row>
    <row r="515" spans="1:22" x14ac:dyDescent="0.25">
      <c r="A515" s="20">
        <v>514</v>
      </c>
      <c r="B515" s="21" t="s">
        <v>106</v>
      </c>
      <c r="C515" s="21" t="s">
        <v>107</v>
      </c>
      <c r="D515" s="6" t="s">
        <v>60</v>
      </c>
      <c r="E515" s="6">
        <v>3804020</v>
      </c>
      <c r="F515" s="6" t="s">
        <v>26</v>
      </c>
      <c r="G515" s="6" t="s">
        <v>22</v>
      </c>
      <c r="H515" s="6" t="s">
        <v>40</v>
      </c>
      <c r="I515" s="23">
        <v>13651.26</v>
      </c>
      <c r="J515" s="23">
        <v>14005.27</v>
      </c>
      <c r="K515" s="23">
        <v>790</v>
      </c>
      <c r="L515" s="23"/>
      <c r="M515" s="23">
        <v>3518.28</v>
      </c>
      <c r="N515" s="23">
        <v>256.99</v>
      </c>
      <c r="O515" s="23">
        <f>+Table24[[#This Row],[FoodcostBlueline]]+Table24[[#This Row],[Pepsico]]</f>
        <v>3775.2700000000004</v>
      </c>
      <c r="P515" s="24">
        <f t="shared" si="24"/>
        <v>0.27655102898926548</v>
      </c>
      <c r="Q515" s="24"/>
      <c r="R515" s="23">
        <v>2803.15</v>
      </c>
      <c r="S515" s="25">
        <f t="shared" si="25"/>
        <v>0.20534001989559938</v>
      </c>
      <c r="T515" s="36"/>
      <c r="U515" s="36">
        <f>Table24[[#This Row],[WagesPercent]]+Table24[[#This Row],[FoodCostPercent]]</f>
        <v>0.48189104888486489</v>
      </c>
      <c r="V515" s="36"/>
    </row>
    <row r="516" spans="1:22" x14ac:dyDescent="0.25">
      <c r="A516" s="20">
        <v>515</v>
      </c>
      <c r="B516" s="21" t="s">
        <v>106</v>
      </c>
      <c r="C516" s="21" t="s">
        <v>107</v>
      </c>
      <c r="D516" s="6" t="s">
        <v>60</v>
      </c>
      <c r="E516" s="6">
        <v>3804021</v>
      </c>
      <c r="F516" s="6" t="s">
        <v>27</v>
      </c>
      <c r="G516" s="6" t="s">
        <v>22</v>
      </c>
      <c r="H516" s="6" t="s">
        <v>40</v>
      </c>
      <c r="I516" s="23">
        <v>23120.55</v>
      </c>
      <c r="J516" s="23">
        <v>30679.58</v>
      </c>
      <c r="K516" s="23">
        <v>1380</v>
      </c>
      <c r="L516" s="23"/>
      <c r="M516" s="23">
        <v>6358.35</v>
      </c>
      <c r="N516" s="23">
        <v>689.81</v>
      </c>
      <c r="O516" s="23">
        <f>+Table24[[#This Row],[FoodcostBlueline]]+Table24[[#This Row],[Pepsico]]</f>
        <v>7048.16</v>
      </c>
      <c r="P516" s="24">
        <f t="shared" si="24"/>
        <v>0.30484395916187113</v>
      </c>
      <c r="Q516" s="24"/>
      <c r="R516" s="23">
        <v>4983.08</v>
      </c>
      <c r="S516" s="25">
        <f t="shared" si="25"/>
        <v>0.21552601473580862</v>
      </c>
      <c r="T516" s="36"/>
      <c r="U516" s="36">
        <f>Table24[[#This Row],[WagesPercent]]+Table24[[#This Row],[FoodCostPercent]]</f>
        <v>0.52036997389767969</v>
      </c>
      <c r="V516" s="36"/>
    </row>
    <row r="517" spans="1:22" x14ac:dyDescent="0.25">
      <c r="A517" s="20">
        <v>516</v>
      </c>
      <c r="B517" s="21" t="s">
        <v>106</v>
      </c>
      <c r="C517" s="21" t="s">
        <v>107</v>
      </c>
      <c r="D517" s="6" t="s">
        <v>60</v>
      </c>
      <c r="E517" s="6">
        <v>3804022</v>
      </c>
      <c r="F517" s="6" t="s">
        <v>28</v>
      </c>
      <c r="G517" s="6" t="s">
        <v>22</v>
      </c>
      <c r="H517" s="6" t="s">
        <v>40</v>
      </c>
      <c r="I517" s="23">
        <v>12483</v>
      </c>
      <c r="J517" s="23">
        <v>14404.05</v>
      </c>
      <c r="K517" s="23">
        <v>719</v>
      </c>
      <c r="L517" s="23"/>
      <c r="M517" s="23">
        <v>3092.37</v>
      </c>
      <c r="N517" s="23">
        <v>338.89</v>
      </c>
      <c r="O517" s="23">
        <f>+Table24[[#This Row],[FoodcostBlueline]]+Table24[[#This Row],[Pepsico]]</f>
        <v>3431.2599999999998</v>
      </c>
      <c r="P517" s="24">
        <f t="shared" si="24"/>
        <v>0.27487462949611469</v>
      </c>
      <c r="Q517" s="24"/>
      <c r="R517" s="23">
        <v>2515.4499999999998</v>
      </c>
      <c r="S517" s="25">
        <f t="shared" si="25"/>
        <v>0.20151005367299527</v>
      </c>
      <c r="T517" s="36"/>
      <c r="U517" s="36">
        <f>Table24[[#This Row],[WagesPercent]]+Table24[[#This Row],[FoodCostPercent]]</f>
        <v>0.47638468316910998</v>
      </c>
      <c r="V517" s="36"/>
    </row>
    <row r="518" spans="1:22" x14ac:dyDescent="0.25">
      <c r="A518" s="20">
        <v>517</v>
      </c>
      <c r="B518" s="21" t="s">
        <v>106</v>
      </c>
      <c r="C518" s="21" t="s">
        <v>107</v>
      </c>
      <c r="D518" s="6" t="s">
        <v>60</v>
      </c>
      <c r="E518" s="6">
        <v>3804023</v>
      </c>
      <c r="F518" s="6" t="s">
        <v>29</v>
      </c>
      <c r="G518" s="6" t="s">
        <v>22</v>
      </c>
      <c r="H518" s="6" t="s">
        <v>40</v>
      </c>
      <c r="I518" s="23">
        <v>14909.41</v>
      </c>
      <c r="J518" s="23">
        <v>18949.330000000002</v>
      </c>
      <c r="K518" s="23">
        <v>896</v>
      </c>
      <c r="L518" s="23"/>
      <c r="M518" s="23">
        <v>3461.99</v>
      </c>
      <c r="N518" s="23">
        <v>0</v>
      </c>
      <c r="O518" s="23">
        <f>+Table24[[#This Row],[FoodcostBlueline]]+Table24[[#This Row],[Pepsico]]</f>
        <v>3461.99</v>
      </c>
      <c r="P518" s="24">
        <f t="shared" si="24"/>
        <v>0.23220167665923735</v>
      </c>
      <c r="Q518" s="24"/>
      <c r="R518" s="23">
        <v>3343.15</v>
      </c>
      <c r="S518" s="25">
        <f t="shared" si="25"/>
        <v>0.22423087164414957</v>
      </c>
      <c r="T518" s="36"/>
      <c r="U518" s="36">
        <f>Table24[[#This Row],[WagesPercent]]+Table24[[#This Row],[FoodCostPercent]]</f>
        <v>0.45643254830338692</v>
      </c>
      <c r="V518" s="36"/>
    </row>
    <row r="519" spans="1:22" x14ac:dyDescent="0.25">
      <c r="A519" s="20">
        <v>518</v>
      </c>
      <c r="B519" s="21" t="s">
        <v>106</v>
      </c>
      <c r="C519" s="21" t="s">
        <v>107</v>
      </c>
      <c r="D519" s="6" t="s">
        <v>60</v>
      </c>
      <c r="E519" s="6">
        <v>3804024</v>
      </c>
      <c r="F519" s="6" t="s">
        <v>30</v>
      </c>
      <c r="G519" s="6" t="s">
        <v>20</v>
      </c>
      <c r="H519" s="6" t="s">
        <v>41</v>
      </c>
      <c r="I519" s="23">
        <v>10321.43</v>
      </c>
      <c r="J519" s="23">
        <v>14766.41</v>
      </c>
      <c r="K519" s="23">
        <v>648</v>
      </c>
      <c r="L519" s="23"/>
      <c r="M519" s="23">
        <v>3547.55</v>
      </c>
      <c r="N519" s="23">
        <v>268.66000000000003</v>
      </c>
      <c r="O519" s="23">
        <f>+Table24[[#This Row],[FoodcostBlueline]]+Table24[[#This Row],[Pepsico]]</f>
        <v>3816.21</v>
      </c>
      <c r="P519" s="24">
        <f t="shared" si="24"/>
        <v>0.36973655782192971</v>
      </c>
      <c r="Q519" s="24"/>
      <c r="R519" s="23">
        <f>4266.22+69.23+2</f>
        <v>4337.45</v>
      </c>
      <c r="S519" s="25">
        <f t="shared" si="25"/>
        <v>0.42023731207788068</v>
      </c>
      <c r="T519" s="36"/>
      <c r="U519" s="36">
        <f>Table24[[#This Row],[WagesPercent]]+Table24[[#This Row],[FoodCostPercent]]</f>
        <v>0.78997386989981044</v>
      </c>
      <c r="V519" s="36"/>
    </row>
    <row r="520" spans="1:22" x14ac:dyDescent="0.25">
      <c r="A520" s="20">
        <v>519</v>
      </c>
      <c r="B520" s="21" t="s">
        <v>106</v>
      </c>
      <c r="C520" s="21" t="s">
        <v>107</v>
      </c>
      <c r="D520" s="6" t="s">
        <v>60</v>
      </c>
      <c r="E520" s="6">
        <v>3804025</v>
      </c>
      <c r="F520" s="6" t="s">
        <v>31</v>
      </c>
      <c r="G520" s="6" t="s">
        <v>20</v>
      </c>
      <c r="H520" s="6" t="s">
        <v>41</v>
      </c>
      <c r="I520" s="23">
        <v>25142.47</v>
      </c>
      <c r="J520" s="23">
        <v>27041.64</v>
      </c>
      <c r="K520" s="23">
        <v>1590</v>
      </c>
      <c r="L520" s="23"/>
      <c r="M520" s="23">
        <v>6851.72</v>
      </c>
      <c r="N520" s="23">
        <v>307.87</v>
      </c>
      <c r="O520" s="23">
        <f>+Table24[[#This Row],[FoodcostBlueline]]+Table24[[#This Row],[Pepsico]]</f>
        <v>7159.59</v>
      </c>
      <c r="P520" s="24">
        <f t="shared" si="24"/>
        <v>0.28476080512376073</v>
      </c>
      <c r="Q520" s="24"/>
      <c r="R520" s="23">
        <v>6690.64</v>
      </c>
      <c r="S520" s="25">
        <f t="shared" si="25"/>
        <v>0.2661090974753077</v>
      </c>
      <c r="T520" s="36"/>
      <c r="U520" s="36">
        <f>Table24[[#This Row],[WagesPercent]]+Table24[[#This Row],[FoodCostPercent]]</f>
        <v>0.55086990259906843</v>
      </c>
      <c r="V520" s="36"/>
    </row>
    <row r="521" spans="1:22" x14ac:dyDescent="0.25">
      <c r="A521" s="20">
        <v>520</v>
      </c>
      <c r="B521" s="21" t="s">
        <v>106</v>
      </c>
      <c r="C521" s="21" t="s">
        <v>107</v>
      </c>
      <c r="D521" s="6" t="s">
        <v>60</v>
      </c>
      <c r="E521" s="6">
        <v>3804026</v>
      </c>
      <c r="F521" s="6" t="s">
        <v>32</v>
      </c>
      <c r="G521" s="6" t="s">
        <v>79</v>
      </c>
      <c r="H521" s="6" t="s">
        <v>41</v>
      </c>
      <c r="I521" s="23">
        <v>13453.72</v>
      </c>
      <c r="J521" s="23">
        <v>12672.18</v>
      </c>
      <c r="K521" s="23">
        <v>822</v>
      </c>
      <c r="L521" s="23"/>
      <c r="M521" s="23">
        <v>4024.7</v>
      </c>
      <c r="N521" s="23">
        <v>300.89999999999998</v>
      </c>
      <c r="O521" s="23">
        <f>+Table24[[#This Row],[FoodcostBlueline]]+Table24[[#This Row],[Pepsico]]</f>
        <v>4325.5999999999995</v>
      </c>
      <c r="P521" s="24">
        <f t="shared" si="24"/>
        <v>0.32151702280112859</v>
      </c>
      <c r="Q521" s="24"/>
      <c r="R521" s="23">
        <v>3563.18</v>
      </c>
      <c r="S521" s="25">
        <f t="shared" si="25"/>
        <v>0.26484719467924112</v>
      </c>
      <c r="T521" s="36"/>
      <c r="U521" s="36">
        <f>Table24[[#This Row],[WagesPercent]]+Table24[[#This Row],[FoodCostPercent]]</f>
        <v>0.58636421748036971</v>
      </c>
      <c r="V521" s="36"/>
    </row>
    <row r="522" spans="1:22" x14ac:dyDescent="0.25">
      <c r="A522" s="20">
        <v>521</v>
      </c>
      <c r="B522" s="21" t="s">
        <v>106</v>
      </c>
      <c r="C522" s="21" t="s">
        <v>107</v>
      </c>
      <c r="D522" s="6" t="s">
        <v>60</v>
      </c>
      <c r="E522" s="6">
        <v>3804027</v>
      </c>
      <c r="F522" s="6" t="s">
        <v>33</v>
      </c>
      <c r="G522" s="6" t="s">
        <v>43</v>
      </c>
      <c r="H522" s="6" t="s">
        <v>41</v>
      </c>
      <c r="I522" s="23">
        <v>18866.13</v>
      </c>
      <c r="J522" s="23">
        <v>14502.63</v>
      </c>
      <c r="K522" s="23">
        <v>1301</v>
      </c>
      <c r="L522" s="23"/>
      <c r="M522" s="23">
        <v>6158.81</v>
      </c>
      <c r="N522" s="23">
        <v>354.87</v>
      </c>
      <c r="O522" s="23">
        <f>+Table24[[#This Row],[FoodcostBlueline]]+Table24[[#This Row],[Pepsico]]</f>
        <v>6513.68</v>
      </c>
      <c r="P522" s="24">
        <f t="shared" si="24"/>
        <v>0.34525787747672682</v>
      </c>
      <c r="Q522" s="24"/>
      <c r="R522" s="23">
        <f>1792.85+377+1600</f>
        <v>3769.85</v>
      </c>
      <c r="S522" s="25">
        <f t="shared" si="25"/>
        <v>0.19982105498053918</v>
      </c>
      <c r="T522" s="36"/>
      <c r="U522" s="36">
        <f>Table24[[#This Row],[WagesPercent]]+Table24[[#This Row],[FoodCostPercent]]</f>
        <v>0.54507893245726602</v>
      </c>
      <c r="V522" s="36"/>
    </row>
    <row r="523" spans="1:22" x14ac:dyDescent="0.25">
      <c r="A523" s="20">
        <v>522</v>
      </c>
      <c r="B523" s="21" t="s">
        <v>106</v>
      </c>
      <c r="C523" s="21" t="s">
        <v>107</v>
      </c>
      <c r="D523" s="6" t="s">
        <v>60</v>
      </c>
      <c r="E523" s="6">
        <v>3804029</v>
      </c>
      <c r="F523" s="6" t="s">
        <v>34</v>
      </c>
      <c r="G523" s="6" t="s">
        <v>79</v>
      </c>
      <c r="H523" s="6" t="s">
        <v>41</v>
      </c>
      <c r="I523" s="23">
        <v>6612.31</v>
      </c>
      <c r="J523" s="23">
        <v>10898.65</v>
      </c>
      <c r="K523" s="23">
        <v>449</v>
      </c>
      <c r="L523" s="23"/>
      <c r="M523" s="23">
        <f>38.48+875.32+89.1</f>
        <v>1002.9000000000001</v>
      </c>
      <c r="N523" s="23">
        <v>408.39</v>
      </c>
      <c r="O523" s="23">
        <f>+Table24[[#This Row],[FoodcostBlueline]]+Table24[[#This Row],[Pepsico]]</f>
        <v>1411.29</v>
      </c>
      <c r="P523" s="24">
        <f t="shared" si="24"/>
        <v>0.2134337319333183</v>
      </c>
      <c r="Q523" s="24"/>
      <c r="R523" s="23">
        <f>243.75+990+1166</f>
        <v>2399.75</v>
      </c>
      <c r="S523" s="25">
        <f t="shared" si="25"/>
        <v>0.36292158111159334</v>
      </c>
      <c r="T523" s="36"/>
      <c r="U523" s="36">
        <f>Table24[[#This Row],[WagesPercent]]+Table24[[#This Row],[FoodCostPercent]]</f>
        <v>0.57635531304491161</v>
      </c>
      <c r="V523" s="36"/>
    </row>
    <row r="524" spans="1:22" x14ac:dyDescent="0.25">
      <c r="A524" s="20">
        <v>523</v>
      </c>
      <c r="B524" s="21" t="s">
        <v>106</v>
      </c>
      <c r="C524" s="21" t="s">
        <v>107</v>
      </c>
      <c r="D524" s="6" t="s">
        <v>60</v>
      </c>
      <c r="E524" s="6">
        <v>3804030</v>
      </c>
      <c r="F524" s="6" t="s">
        <v>35</v>
      </c>
      <c r="G524" s="6" t="s">
        <v>5</v>
      </c>
      <c r="H524" s="6" t="s">
        <v>40</v>
      </c>
      <c r="I524" s="23">
        <v>10733.31</v>
      </c>
      <c r="J524" s="23">
        <v>9337.91</v>
      </c>
      <c r="K524" s="23">
        <v>624</v>
      </c>
      <c r="L524" s="23"/>
      <c r="M524" s="23">
        <v>3186.57</v>
      </c>
      <c r="N524" s="23">
        <v>185.92</v>
      </c>
      <c r="O524" s="23">
        <f>+Table24[[#This Row],[FoodcostBlueline]]+Table24[[#This Row],[Pepsico]]</f>
        <v>3372.4900000000002</v>
      </c>
      <c r="P524" s="24">
        <f t="shared" si="24"/>
        <v>0.31420782591763402</v>
      </c>
      <c r="Q524" s="24"/>
      <c r="R524" s="23">
        <v>2699.79</v>
      </c>
      <c r="S524" s="25">
        <f t="shared" si="25"/>
        <v>0.2515337766262225</v>
      </c>
      <c r="T524" s="36"/>
      <c r="U524" s="36">
        <f>Table24[[#This Row],[WagesPercent]]+Table24[[#This Row],[FoodCostPercent]]</f>
        <v>0.56574160254385653</v>
      </c>
      <c r="V524" s="36"/>
    </row>
    <row r="525" spans="1:22" x14ac:dyDescent="0.25">
      <c r="A525" s="20">
        <v>524</v>
      </c>
      <c r="B525" s="21" t="s">
        <v>106</v>
      </c>
      <c r="C525" s="21" t="s">
        <v>107</v>
      </c>
      <c r="D525" s="6" t="s">
        <v>60</v>
      </c>
      <c r="E525" s="6">
        <v>3804031</v>
      </c>
      <c r="F525" s="6" t="s">
        <v>36</v>
      </c>
      <c r="G525" s="6" t="s">
        <v>5</v>
      </c>
      <c r="H525" s="6" t="s">
        <v>40</v>
      </c>
      <c r="I525" s="23">
        <v>12315.78</v>
      </c>
      <c r="J525" s="23">
        <v>10049.81</v>
      </c>
      <c r="K525" s="23">
        <v>754</v>
      </c>
      <c r="L525" s="23"/>
      <c r="M525" s="23">
        <f>2932.3-12.35+56.16</f>
        <v>2976.11</v>
      </c>
      <c r="N525" s="23">
        <v>199.16</v>
      </c>
      <c r="O525" s="23">
        <f>+Table24[[#This Row],[FoodcostBlueline]]+Table24[[#This Row],[Pepsico]]</f>
        <v>3175.27</v>
      </c>
      <c r="P525" s="24">
        <f t="shared" si="24"/>
        <v>0.25782126670011968</v>
      </c>
      <c r="Q525" s="24"/>
      <c r="R525" s="37">
        <f>2317.92+800</f>
        <v>3117.92</v>
      </c>
      <c r="S525" s="25">
        <f t="shared" si="25"/>
        <v>0.25316463918647458</v>
      </c>
      <c r="T525" s="36"/>
      <c r="U525" s="36">
        <f>Table24[[#This Row],[WagesPercent]]+Table24[[#This Row],[FoodCostPercent]]</f>
        <v>0.5109859058865942</v>
      </c>
      <c r="V525" s="36"/>
    </row>
    <row r="526" spans="1:22" x14ac:dyDescent="0.25">
      <c r="A526" s="20">
        <v>525</v>
      </c>
      <c r="B526" s="21" t="s">
        <v>106</v>
      </c>
      <c r="C526" s="21" t="s">
        <v>107</v>
      </c>
      <c r="D526" s="6" t="s">
        <v>60</v>
      </c>
      <c r="E526" s="6">
        <v>3804032</v>
      </c>
      <c r="F526" s="6" t="s">
        <v>37</v>
      </c>
      <c r="G526" s="6" t="s">
        <v>5</v>
      </c>
      <c r="H526" s="6" t="s">
        <v>40</v>
      </c>
      <c r="I526" s="23">
        <v>10569.13</v>
      </c>
      <c r="J526" s="23">
        <v>5788.95</v>
      </c>
      <c r="K526" s="23">
        <v>605</v>
      </c>
      <c r="L526" s="23"/>
      <c r="M526" s="23">
        <f>3112.34-12.35+216.74</f>
        <v>3316.7300000000005</v>
      </c>
      <c r="N526" s="23">
        <v>252.68</v>
      </c>
      <c r="O526" s="23">
        <f>+Table24[[#This Row],[FoodcostBlueline]]+Table24[[#This Row],[Pepsico]]</f>
        <v>3569.4100000000003</v>
      </c>
      <c r="P526" s="24">
        <f t="shared" si="24"/>
        <v>0.33772032324325657</v>
      </c>
      <c r="Q526" s="24"/>
      <c r="R526" s="23">
        <f>1350+850+200</f>
        <v>2400</v>
      </c>
      <c r="S526" s="25">
        <f t="shared" si="25"/>
        <v>0.22707640080120126</v>
      </c>
      <c r="T526" s="36"/>
      <c r="U526" s="36">
        <f>Table24[[#This Row],[WagesPercent]]+Table24[[#This Row],[FoodCostPercent]]</f>
        <v>0.5647967240444578</v>
      </c>
      <c r="V526" s="36"/>
    </row>
    <row r="527" spans="1:22" x14ac:dyDescent="0.25">
      <c r="A527" s="20">
        <v>526</v>
      </c>
      <c r="B527" s="21" t="s">
        <v>106</v>
      </c>
      <c r="C527" s="21" t="s">
        <v>107</v>
      </c>
      <c r="D527" s="6" t="s">
        <v>60</v>
      </c>
      <c r="E527" s="6">
        <v>3804033</v>
      </c>
      <c r="F527" s="6" t="s">
        <v>38</v>
      </c>
      <c r="G527" s="6" t="s">
        <v>5</v>
      </c>
      <c r="H527" s="6" t="s">
        <v>40</v>
      </c>
      <c r="I527" s="23">
        <v>8686.24</v>
      </c>
      <c r="J527" s="23">
        <v>8939.4599999999991</v>
      </c>
      <c r="K527" s="23">
        <v>667</v>
      </c>
      <c r="L527" s="23"/>
      <c r="M527" s="23">
        <f>2037.76+123.56</f>
        <v>2161.3200000000002</v>
      </c>
      <c r="N527" s="23">
        <v>0</v>
      </c>
      <c r="O527" s="23">
        <f>+Table24[[#This Row],[FoodcostBlueline]]+Table24[[#This Row],[Pepsico]]</f>
        <v>2161.3200000000002</v>
      </c>
      <c r="P527" s="24">
        <f t="shared" si="24"/>
        <v>0.24882112398460096</v>
      </c>
      <c r="Q527" s="24"/>
      <c r="R527" s="23">
        <f>1350+850+165.58</f>
        <v>2365.58</v>
      </c>
      <c r="S527" s="25">
        <f t="shared" si="25"/>
        <v>0.27233647700270774</v>
      </c>
      <c r="T527" s="36"/>
      <c r="U527" s="36">
        <f>Table24[[#This Row],[WagesPercent]]+Table24[[#This Row],[FoodCostPercent]]</f>
        <v>0.52115760098730868</v>
      </c>
      <c r="V527" s="36"/>
    </row>
    <row r="528" spans="1:22" x14ac:dyDescent="0.25">
      <c r="A528" s="20">
        <v>527</v>
      </c>
      <c r="B528" s="21" t="s">
        <v>106</v>
      </c>
      <c r="C528" s="21" t="s">
        <v>107</v>
      </c>
      <c r="D528" s="6" t="s">
        <v>60</v>
      </c>
      <c r="E528" s="6">
        <v>3804034</v>
      </c>
      <c r="F528" s="6" t="s">
        <v>53</v>
      </c>
      <c r="G528" s="6" t="s">
        <v>79</v>
      </c>
      <c r="H528" s="6" t="s">
        <v>41</v>
      </c>
      <c r="I528" s="23">
        <v>8610.83</v>
      </c>
      <c r="J528" s="23">
        <v>11334.09</v>
      </c>
      <c r="K528" s="23">
        <v>493</v>
      </c>
      <c r="L528" s="23"/>
      <c r="M528" s="23">
        <v>2451.62</v>
      </c>
      <c r="N528" s="23">
        <v>0</v>
      </c>
      <c r="O528" s="23">
        <f>+Table24[[#This Row],[FoodcostBlueline]]+Table24[[#This Row],[Pepsico]]</f>
        <v>2451.62</v>
      </c>
      <c r="P528" s="24">
        <f t="shared" si="24"/>
        <v>0.28471355258436176</v>
      </c>
      <c r="Q528" s="24"/>
      <c r="R528" s="23">
        <v>2400</v>
      </c>
      <c r="S528" s="25">
        <f t="shared" si="25"/>
        <v>0.27871877623875979</v>
      </c>
      <c r="T528" s="36"/>
      <c r="U528" s="36">
        <f>Table24[[#This Row],[WagesPercent]]+Table24[[#This Row],[FoodCostPercent]]</f>
        <v>0.56343232882312155</v>
      </c>
      <c r="V528" s="36"/>
    </row>
    <row r="529" spans="1:22" x14ac:dyDescent="0.25">
      <c r="A529" s="20">
        <v>528</v>
      </c>
      <c r="B529" s="21" t="s">
        <v>108</v>
      </c>
      <c r="C529" s="21" t="s">
        <v>107</v>
      </c>
      <c r="D529" s="6" t="s">
        <v>61</v>
      </c>
      <c r="E529" s="6">
        <v>3804001</v>
      </c>
      <c r="F529" s="6" t="s">
        <v>4</v>
      </c>
      <c r="G529" s="6" t="s">
        <v>5</v>
      </c>
      <c r="H529" s="6" t="s">
        <v>40</v>
      </c>
      <c r="I529" s="23">
        <v>26536.83</v>
      </c>
      <c r="J529" s="23">
        <v>27022.97</v>
      </c>
      <c r="K529" s="23">
        <v>1748</v>
      </c>
      <c r="L529" s="23"/>
      <c r="M529" s="23">
        <f>8330.52-106.25</f>
        <v>8224.27</v>
      </c>
      <c r="N529" s="23">
        <v>621.92999999999995</v>
      </c>
      <c r="O529" s="23">
        <f>+Table24[[#This Row],[FoodcostBlueline]]+Table24[[#This Row],[Pepsico]]</f>
        <v>8846.2000000000007</v>
      </c>
      <c r="P529" s="24">
        <f t="shared" si="24"/>
        <v>0.33335556658425292</v>
      </c>
      <c r="Q529" s="24"/>
      <c r="R529" s="23">
        <f>4372.89+1000+165.58</f>
        <v>5538.47</v>
      </c>
      <c r="S529" s="25">
        <f t="shared" si="25"/>
        <v>0.20870880206867209</v>
      </c>
      <c r="T529" s="36"/>
      <c r="U529" s="36">
        <f>Table24[[#This Row],[WagesPercent]]+Table24[[#This Row],[FoodCostPercent]]</f>
        <v>0.54206436865292495</v>
      </c>
      <c r="V529" s="36"/>
    </row>
    <row r="530" spans="1:22" x14ac:dyDescent="0.25">
      <c r="A530" s="20">
        <v>529</v>
      </c>
      <c r="B530" s="21" t="s">
        <v>108</v>
      </c>
      <c r="C530" s="21" t="s">
        <v>107</v>
      </c>
      <c r="D530" s="6" t="s">
        <v>61</v>
      </c>
      <c r="E530" s="6">
        <v>3804002</v>
      </c>
      <c r="F530" s="6" t="s">
        <v>6</v>
      </c>
      <c r="G530" s="6" t="s">
        <v>7</v>
      </c>
      <c r="H530" s="6" t="s">
        <v>41</v>
      </c>
      <c r="I530" s="23">
        <v>14396.75</v>
      </c>
      <c r="J530" s="23">
        <v>15380.7</v>
      </c>
      <c r="K530" s="23">
        <v>1118</v>
      </c>
      <c r="L530" s="23"/>
      <c r="M530" s="23">
        <f>3278.92+-43.75+256.7</f>
        <v>3491.87</v>
      </c>
      <c r="N530" s="23">
        <v>532.41999999999996</v>
      </c>
      <c r="O530" s="23">
        <f>+Table24[[#This Row],[FoodcostBlueline]]+Table24[[#This Row],[Pepsico]]</f>
        <v>4024.29</v>
      </c>
      <c r="P530" s="24">
        <f t="shared" si="24"/>
        <v>0.2795276711757862</v>
      </c>
      <c r="Q530" s="24"/>
      <c r="R530" s="23">
        <v>3064.82</v>
      </c>
      <c r="S530" s="25">
        <f t="shared" si="25"/>
        <v>0.21288276868043135</v>
      </c>
      <c r="T530" s="36"/>
      <c r="U530" s="36">
        <f>Table24[[#This Row],[WagesPercent]]+Table24[[#This Row],[FoodCostPercent]]</f>
        <v>0.49241043985621757</v>
      </c>
      <c r="V530" s="36"/>
    </row>
    <row r="531" spans="1:22" x14ac:dyDescent="0.25">
      <c r="A531" s="20">
        <v>530</v>
      </c>
      <c r="B531" s="21" t="s">
        <v>108</v>
      </c>
      <c r="C531" s="21" t="s">
        <v>107</v>
      </c>
      <c r="D531" s="6" t="s">
        <v>61</v>
      </c>
      <c r="E531" s="6">
        <v>3804003</v>
      </c>
      <c r="F531" s="6" t="s">
        <v>8</v>
      </c>
      <c r="G531" s="6" t="s">
        <v>7</v>
      </c>
      <c r="H531" s="6" t="s">
        <v>41</v>
      </c>
      <c r="I531" s="23">
        <v>13432.44</v>
      </c>
      <c r="J531" s="23">
        <v>12440.29</v>
      </c>
      <c r="K531" s="23">
        <v>838</v>
      </c>
      <c r="L531" s="23"/>
      <c r="M531" s="23">
        <f>3397.45-42.5+140</f>
        <v>3494.95</v>
      </c>
      <c r="N531" s="23">
        <v>0</v>
      </c>
      <c r="O531" s="23">
        <f>+Table24[[#This Row],[FoodcostBlueline]]+Table24[[#This Row],[Pepsico]]</f>
        <v>3494.95</v>
      </c>
      <c r="P531" s="24">
        <f t="shared" si="24"/>
        <v>0.26018727796290175</v>
      </c>
      <c r="Q531" s="24"/>
      <c r="R531" s="23">
        <v>2822.19</v>
      </c>
      <c r="S531" s="25">
        <f t="shared" si="25"/>
        <v>0.2101025576886999</v>
      </c>
      <c r="T531" s="36"/>
      <c r="U531" s="36">
        <f>Table24[[#This Row],[WagesPercent]]+Table24[[#This Row],[FoodCostPercent]]</f>
        <v>0.47028983565160165</v>
      </c>
      <c r="V531" s="36"/>
    </row>
    <row r="532" spans="1:22" x14ac:dyDescent="0.25">
      <c r="A532" s="20">
        <v>531</v>
      </c>
      <c r="B532" s="21" t="s">
        <v>108</v>
      </c>
      <c r="C532" s="21" t="s">
        <v>107</v>
      </c>
      <c r="D532" s="6" t="s">
        <v>61</v>
      </c>
      <c r="E532" s="6">
        <v>3804004</v>
      </c>
      <c r="F532" s="6" t="s">
        <v>9</v>
      </c>
      <c r="G532" s="6" t="s">
        <v>7</v>
      </c>
      <c r="H532" s="6" t="s">
        <v>41</v>
      </c>
      <c r="I532" s="23">
        <v>16521.400000000001</v>
      </c>
      <c r="J532" s="23">
        <v>17320.53</v>
      </c>
      <c r="K532" s="23">
        <v>1155</v>
      </c>
      <c r="L532" s="23"/>
      <c r="M532" s="23">
        <f>4453.73-52.5</f>
        <v>4401.2299999999996</v>
      </c>
      <c r="N532" s="23">
        <v>714.46</v>
      </c>
      <c r="O532" s="23">
        <f>+Table24[[#This Row],[FoodcostBlueline]]+Table24[[#This Row],[Pepsico]]</f>
        <v>5115.6899999999996</v>
      </c>
      <c r="P532" s="24">
        <f t="shared" si="24"/>
        <v>0.3096402241940755</v>
      </c>
      <c r="Q532" s="24"/>
      <c r="R532" s="23">
        <f>3991.34+36.52</f>
        <v>4027.86</v>
      </c>
      <c r="S532" s="25">
        <f t="shared" si="25"/>
        <v>0.24379653056036413</v>
      </c>
      <c r="T532" s="36"/>
      <c r="U532" s="36">
        <f>Table24[[#This Row],[WagesPercent]]+Table24[[#This Row],[FoodCostPercent]]</f>
        <v>0.55343675475443965</v>
      </c>
      <c r="V532" s="36"/>
    </row>
    <row r="533" spans="1:22" x14ac:dyDescent="0.25">
      <c r="A533" s="20">
        <v>532</v>
      </c>
      <c r="B533" s="21" t="s">
        <v>108</v>
      </c>
      <c r="C533" s="21" t="s">
        <v>107</v>
      </c>
      <c r="D533" s="6" t="s">
        <v>61</v>
      </c>
      <c r="E533" s="6">
        <v>3804005</v>
      </c>
      <c r="F533" s="6" t="s">
        <v>10</v>
      </c>
      <c r="G533" s="6" t="s">
        <v>7</v>
      </c>
      <c r="H533" s="6" t="s">
        <v>41</v>
      </c>
      <c r="I533" s="23">
        <v>15448.26</v>
      </c>
      <c r="J533" s="23">
        <v>14617.83</v>
      </c>
      <c r="K533" s="23">
        <v>975</v>
      </c>
      <c r="L533" s="23"/>
      <c r="M533" s="23">
        <f>-12.35+3529.72-40+29.65+85+23.98</f>
        <v>3616</v>
      </c>
      <c r="N533" s="23">
        <v>1350.62</v>
      </c>
      <c r="O533" s="23">
        <f>+Table24[[#This Row],[FoodcostBlueline]]+Table24[[#This Row],[Pepsico]]</f>
        <v>4966.62</v>
      </c>
      <c r="P533" s="24">
        <f t="shared" si="24"/>
        <v>0.32150028546904308</v>
      </c>
      <c r="Q533" s="24"/>
      <c r="R533" s="23">
        <v>3407.12</v>
      </c>
      <c r="S533" s="25">
        <f t="shared" si="25"/>
        <v>0.22055040502943374</v>
      </c>
      <c r="T533" s="36"/>
      <c r="U533" s="36">
        <f>Table24[[#This Row],[WagesPercent]]+Table24[[#This Row],[FoodCostPercent]]</f>
        <v>0.54205069049847676</v>
      </c>
      <c r="V533" s="36"/>
    </row>
    <row r="534" spans="1:22" x14ac:dyDescent="0.25">
      <c r="A534" s="20">
        <v>533</v>
      </c>
      <c r="B534" s="21" t="s">
        <v>108</v>
      </c>
      <c r="C534" s="21" t="s">
        <v>107</v>
      </c>
      <c r="D534" s="6" t="s">
        <v>61</v>
      </c>
      <c r="E534" s="6">
        <v>3804006</v>
      </c>
      <c r="F534" s="6" t="s">
        <v>11</v>
      </c>
      <c r="G534" s="6" t="s">
        <v>7</v>
      </c>
      <c r="H534" s="6" t="s">
        <v>41</v>
      </c>
      <c r="I534" s="23">
        <v>8445.1299999999992</v>
      </c>
      <c r="J534" s="23">
        <v>10819.09</v>
      </c>
      <c r="K534" s="23">
        <v>651</v>
      </c>
      <c r="L534" s="23"/>
      <c r="M534" s="23">
        <f>1979.58-56.25</f>
        <v>1923.33</v>
      </c>
      <c r="N534" s="23">
        <v>495.85</v>
      </c>
      <c r="O534" s="23">
        <f>+Table24[[#This Row],[FoodcostBlueline]]+Table24[[#This Row],[Pepsico]]</f>
        <v>2419.1799999999998</v>
      </c>
      <c r="P534" s="24">
        <f t="shared" si="24"/>
        <v>0.28645858619109477</v>
      </c>
      <c r="Q534" s="24"/>
      <c r="R534" s="23">
        <v>1871.14</v>
      </c>
      <c r="S534" s="25">
        <f t="shared" si="25"/>
        <v>0.22156438089170921</v>
      </c>
      <c r="T534" s="36"/>
      <c r="U534" s="36">
        <f>Table24[[#This Row],[WagesPercent]]+Table24[[#This Row],[FoodCostPercent]]</f>
        <v>0.50802296708280403</v>
      </c>
      <c r="V534" s="36"/>
    </row>
    <row r="535" spans="1:22" x14ac:dyDescent="0.25">
      <c r="A535" s="20">
        <v>534</v>
      </c>
      <c r="B535" s="21" t="s">
        <v>108</v>
      </c>
      <c r="C535" s="21" t="s">
        <v>107</v>
      </c>
      <c r="D535" s="6" t="s">
        <v>61</v>
      </c>
      <c r="E535" s="6">
        <v>3804008</v>
      </c>
      <c r="F535" s="6" t="s">
        <v>12</v>
      </c>
      <c r="G535" s="6" t="s">
        <v>42</v>
      </c>
      <c r="H535" s="6" t="s">
        <v>41</v>
      </c>
      <c r="I535" s="23">
        <v>24818.26</v>
      </c>
      <c r="J535" s="23">
        <v>22330.93</v>
      </c>
      <c r="K535" s="23">
        <v>1509</v>
      </c>
      <c r="L535" s="23"/>
      <c r="M535" s="23">
        <f>5740.81-76.25</f>
        <v>5664.56</v>
      </c>
      <c r="N535" s="23">
        <v>582.98</v>
      </c>
      <c r="O535" s="23">
        <f>+Table24[[#This Row],[FoodcostBlueline]]+Table24[[#This Row],[Pepsico]]</f>
        <v>6247.5400000000009</v>
      </c>
      <c r="P535" s="24">
        <f t="shared" si="24"/>
        <v>0.25173158795177425</v>
      </c>
      <c r="Q535" s="24"/>
      <c r="R535" s="23">
        <f>413.64+5612</f>
        <v>6025.64</v>
      </c>
      <c r="S535" s="25">
        <f t="shared" si="25"/>
        <v>0.24279059047652821</v>
      </c>
      <c r="T535" s="36"/>
      <c r="U535" s="36">
        <f>Table24[[#This Row],[WagesPercent]]+Table24[[#This Row],[FoodCostPercent]]</f>
        <v>0.49452217842830248</v>
      </c>
      <c r="V535" s="36"/>
    </row>
    <row r="536" spans="1:22" x14ac:dyDescent="0.25">
      <c r="A536" s="20">
        <v>535</v>
      </c>
      <c r="B536" s="21" t="s">
        <v>108</v>
      </c>
      <c r="C536" s="21" t="s">
        <v>107</v>
      </c>
      <c r="D536" s="6" t="s">
        <v>61</v>
      </c>
      <c r="E536" s="6">
        <v>3804009</v>
      </c>
      <c r="F536" s="6" t="s">
        <v>13</v>
      </c>
      <c r="G536" s="6" t="s">
        <v>42</v>
      </c>
      <c r="H536" s="6" t="s">
        <v>41</v>
      </c>
      <c r="I536" s="23">
        <v>17433.09</v>
      </c>
      <c r="J536" s="23">
        <v>15482.43</v>
      </c>
      <c r="K536" s="23">
        <v>1048</v>
      </c>
      <c r="L536" s="23"/>
      <c r="M536" s="23">
        <f>-12.35+5022.52-90</f>
        <v>4920.17</v>
      </c>
      <c r="N536" s="23">
        <v>0</v>
      </c>
      <c r="O536" s="23">
        <f>+Table24[[#This Row],[FoodcostBlueline]]+Table24[[#This Row],[Pepsico]]</f>
        <v>4920.17</v>
      </c>
      <c r="P536" s="24">
        <f t="shared" si="24"/>
        <v>0.28223166403661082</v>
      </c>
      <c r="Q536" s="24"/>
      <c r="R536" s="23">
        <v>2504</v>
      </c>
      <c r="S536" s="25">
        <f t="shared" si="25"/>
        <v>0.14363489203577792</v>
      </c>
      <c r="T536" s="36"/>
      <c r="U536" s="36">
        <f>Table24[[#This Row],[WagesPercent]]+Table24[[#This Row],[FoodCostPercent]]</f>
        <v>0.42586655607238877</v>
      </c>
      <c r="V536" s="36"/>
    </row>
    <row r="537" spans="1:22" x14ac:dyDescent="0.25">
      <c r="A537" s="20">
        <v>536</v>
      </c>
      <c r="B537" s="21" t="s">
        <v>108</v>
      </c>
      <c r="C537" s="21" t="s">
        <v>107</v>
      </c>
      <c r="D537" s="6" t="s">
        <v>61</v>
      </c>
      <c r="E537" s="6">
        <v>3804010</v>
      </c>
      <c r="F537" s="6" t="s">
        <v>14</v>
      </c>
      <c r="G537" s="6" t="s">
        <v>42</v>
      </c>
      <c r="H537" s="6" t="s">
        <v>41</v>
      </c>
      <c r="I537" s="23">
        <v>9044.0400000000009</v>
      </c>
      <c r="J537" s="23">
        <v>9481.64</v>
      </c>
      <c r="K537" s="23">
        <v>502</v>
      </c>
      <c r="L537" s="23"/>
      <c r="M537" s="23">
        <f>2141.26-63.75</f>
        <v>2077.5100000000002</v>
      </c>
      <c r="N537" s="23">
        <v>225.64</v>
      </c>
      <c r="O537" s="23">
        <f>+Table24[[#This Row],[FoodcostBlueline]]+Table24[[#This Row],[Pepsico]]</f>
        <v>2303.15</v>
      </c>
      <c r="P537" s="24">
        <f t="shared" si="24"/>
        <v>0.25465942211666465</v>
      </c>
      <c r="Q537" s="24"/>
      <c r="R537" s="23">
        <v>1500</v>
      </c>
      <c r="S537" s="25">
        <f t="shared" si="25"/>
        <v>0.16585508246314698</v>
      </c>
      <c r="T537" s="36"/>
      <c r="U537" s="36">
        <f>Table24[[#This Row],[WagesPercent]]+Table24[[#This Row],[FoodCostPercent]]</f>
        <v>0.42051450457981165</v>
      </c>
      <c r="V537" s="36"/>
    </row>
    <row r="538" spans="1:22" x14ac:dyDescent="0.25">
      <c r="A538" s="20">
        <v>537</v>
      </c>
      <c r="B538" s="21" t="s">
        <v>108</v>
      </c>
      <c r="C538" s="21" t="s">
        <v>107</v>
      </c>
      <c r="D538" s="6" t="s">
        <v>61</v>
      </c>
      <c r="E538" s="6">
        <v>3804011</v>
      </c>
      <c r="F538" s="6" t="s">
        <v>15</v>
      </c>
      <c r="G538" s="6" t="s">
        <v>79</v>
      </c>
      <c r="H538" s="6" t="s">
        <v>41</v>
      </c>
      <c r="I538" s="23">
        <v>30845.58</v>
      </c>
      <c r="J538" s="23">
        <v>24593.8</v>
      </c>
      <c r="K538" s="23">
        <v>1930</v>
      </c>
      <c r="L538" s="23"/>
      <c r="M538" s="23">
        <f>7671.05-70</f>
        <v>7601.05</v>
      </c>
      <c r="N538" s="23">
        <v>659.36</v>
      </c>
      <c r="O538" s="23">
        <f>+Table24[[#This Row],[FoodcostBlueline]]+Table24[[#This Row],[Pepsico]]</f>
        <v>8260.41</v>
      </c>
      <c r="P538" s="24">
        <f t="shared" si="24"/>
        <v>0.26779882239205743</v>
      </c>
      <c r="Q538" s="24"/>
      <c r="R538" s="23">
        <f>3307.35+650+49.68</f>
        <v>4007.0299999999997</v>
      </c>
      <c r="S538" s="25">
        <f t="shared" si="25"/>
        <v>0.12990613241832377</v>
      </c>
      <c r="T538" s="36"/>
      <c r="U538" s="36">
        <f>Table24[[#This Row],[WagesPercent]]+Table24[[#This Row],[FoodCostPercent]]</f>
        <v>0.39770495481038121</v>
      </c>
      <c r="V538" s="36"/>
    </row>
    <row r="539" spans="1:22" x14ac:dyDescent="0.25">
      <c r="A539" s="20">
        <v>538</v>
      </c>
      <c r="B539" s="21" t="s">
        <v>108</v>
      </c>
      <c r="C539" s="21" t="s">
        <v>107</v>
      </c>
      <c r="D539" s="6" t="s">
        <v>61</v>
      </c>
      <c r="E539" s="6">
        <v>3804013</v>
      </c>
      <c r="F539" s="6" t="s">
        <v>17</v>
      </c>
      <c r="G539" s="6" t="s">
        <v>79</v>
      </c>
      <c r="H539" s="6" t="s">
        <v>41</v>
      </c>
      <c r="I539" s="23">
        <v>8591.5300000000007</v>
      </c>
      <c r="J539" s="23">
        <v>8475.36</v>
      </c>
      <c r="K539" s="23">
        <v>543</v>
      </c>
      <c r="L539" s="23"/>
      <c r="M539" s="23">
        <f>2641.19-58.75</f>
        <v>2582.44</v>
      </c>
      <c r="N539" s="23">
        <v>0</v>
      </c>
      <c r="O539" s="23">
        <f>+Table24[[#This Row],[FoodcostBlueline]]+Table24[[#This Row],[Pepsico]]</f>
        <v>2582.44</v>
      </c>
      <c r="P539" s="24">
        <f t="shared" si="24"/>
        <v>0.30057975703978218</v>
      </c>
      <c r="Q539" s="24"/>
      <c r="R539" s="23">
        <v>2137.2800000000002</v>
      </c>
      <c r="S539" s="25">
        <f t="shared" si="25"/>
        <v>0.24876593575300326</v>
      </c>
      <c r="T539" s="36"/>
      <c r="U539" s="36">
        <f>Table24[[#This Row],[WagesPercent]]+Table24[[#This Row],[FoodCostPercent]]</f>
        <v>0.54934569279278544</v>
      </c>
      <c r="V539" s="36"/>
    </row>
    <row r="540" spans="1:22" x14ac:dyDescent="0.25">
      <c r="A540" s="20">
        <v>539</v>
      </c>
      <c r="B540" s="21" t="s">
        <v>108</v>
      </c>
      <c r="C540" s="21" t="s">
        <v>107</v>
      </c>
      <c r="D540" s="6" t="s">
        <v>61</v>
      </c>
      <c r="E540" s="6">
        <v>3804014</v>
      </c>
      <c r="F540" s="6" t="s">
        <v>18</v>
      </c>
      <c r="G540" s="6" t="s">
        <v>79</v>
      </c>
      <c r="H540" s="6" t="s">
        <v>41</v>
      </c>
      <c r="I540" s="23">
        <v>7136.58</v>
      </c>
      <c r="J540" s="23">
        <v>6847.85</v>
      </c>
      <c r="K540" s="23">
        <v>460</v>
      </c>
      <c r="L540" s="23"/>
      <c r="M540" s="23">
        <f>2661.32-37.5</f>
        <v>2623.82</v>
      </c>
      <c r="N540" s="23">
        <v>0</v>
      </c>
      <c r="O540" s="23">
        <f>+Table24[[#This Row],[FoodcostBlueline]]+Table24[[#This Row],[Pepsico]]</f>
        <v>2623.82</v>
      </c>
      <c r="P540" s="24">
        <f t="shared" si="24"/>
        <v>0.36765789776055202</v>
      </c>
      <c r="Q540" s="24"/>
      <c r="R540" s="23">
        <v>1916.21</v>
      </c>
      <c r="S540" s="25">
        <f t="shared" si="25"/>
        <v>0.26850536251257606</v>
      </c>
      <c r="T540" s="36"/>
      <c r="U540" s="36">
        <f>Table24[[#This Row],[WagesPercent]]+Table24[[#This Row],[FoodCostPercent]]</f>
        <v>0.63616326027312808</v>
      </c>
      <c r="V540" s="36"/>
    </row>
    <row r="541" spans="1:22" x14ac:dyDescent="0.25">
      <c r="A541" s="20">
        <v>540</v>
      </c>
      <c r="B541" s="21" t="s">
        <v>108</v>
      </c>
      <c r="C541" s="21" t="s">
        <v>107</v>
      </c>
      <c r="D541" s="6" t="s">
        <v>61</v>
      </c>
      <c r="E541" s="6">
        <v>3804015</v>
      </c>
      <c r="F541" s="6" t="s">
        <v>19</v>
      </c>
      <c r="G541" s="6" t="s">
        <v>20</v>
      </c>
      <c r="H541" s="6" t="s">
        <v>41</v>
      </c>
      <c r="I541" s="23">
        <v>15669.87</v>
      </c>
      <c r="J541" s="23">
        <v>16812.39</v>
      </c>
      <c r="K541" s="23">
        <v>1005</v>
      </c>
      <c r="L541" s="23"/>
      <c r="M541" s="23">
        <f>4351.04-31.25</f>
        <v>4319.79</v>
      </c>
      <c r="N541" s="23">
        <v>451.8</v>
      </c>
      <c r="O541" s="23">
        <f>+Table24[[#This Row],[FoodcostBlueline]]+Table24[[#This Row],[Pepsico]]</f>
        <v>4771.59</v>
      </c>
      <c r="P541" s="24">
        <f t="shared" si="24"/>
        <v>0.30450731244100937</v>
      </c>
      <c r="Q541" s="24"/>
      <c r="R541" s="23">
        <v>3696.27</v>
      </c>
      <c r="S541" s="25">
        <f t="shared" si="25"/>
        <v>0.23588389693086156</v>
      </c>
      <c r="T541" s="36"/>
      <c r="U541" s="36">
        <f>Table24[[#This Row],[WagesPercent]]+Table24[[#This Row],[FoodCostPercent]]</f>
        <v>0.54039120937187091</v>
      </c>
      <c r="V541" s="36"/>
    </row>
    <row r="542" spans="1:22" x14ac:dyDescent="0.25">
      <c r="A542" s="20">
        <v>541</v>
      </c>
      <c r="B542" s="21" t="s">
        <v>108</v>
      </c>
      <c r="C542" s="21" t="s">
        <v>107</v>
      </c>
      <c r="D542" s="6" t="s">
        <v>61</v>
      </c>
      <c r="E542" s="6">
        <v>3804016</v>
      </c>
      <c r="F542" s="6" t="s">
        <v>21</v>
      </c>
      <c r="G542" s="6" t="s">
        <v>22</v>
      </c>
      <c r="H542" s="6" t="s">
        <v>40</v>
      </c>
      <c r="I542" s="23">
        <v>12927.58</v>
      </c>
      <c r="J542" s="23">
        <v>16192.85</v>
      </c>
      <c r="K542" s="23">
        <v>768</v>
      </c>
      <c r="L542" s="23"/>
      <c r="M542" s="23">
        <f>3674.69-40</f>
        <v>3634.69</v>
      </c>
      <c r="N542" s="23">
        <v>710.53</v>
      </c>
      <c r="O542" s="23">
        <f>+Table24[[#This Row],[FoodcostBlueline]]+Table24[[#This Row],[Pepsico]]</f>
        <v>4345.22</v>
      </c>
      <c r="P542" s="24">
        <f t="shared" si="24"/>
        <v>0.33612014004167834</v>
      </c>
      <c r="Q542" s="24"/>
      <c r="R542" s="23">
        <v>3393.29</v>
      </c>
      <c r="S542" s="25">
        <f t="shared" si="25"/>
        <v>0.26248454853886033</v>
      </c>
      <c r="T542" s="36"/>
      <c r="U542" s="36">
        <f>Table24[[#This Row],[WagesPercent]]+Table24[[#This Row],[FoodCostPercent]]</f>
        <v>0.59860468858053872</v>
      </c>
      <c r="V542" s="36"/>
    </row>
    <row r="543" spans="1:22" x14ac:dyDescent="0.25">
      <c r="A543" s="20">
        <v>542</v>
      </c>
      <c r="B543" s="21" t="s">
        <v>108</v>
      </c>
      <c r="C543" s="21" t="s">
        <v>107</v>
      </c>
      <c r="D543" s="6" t="s">
        <v>61</v>
      </c>
      <c r="E543" s="6">
        <v>3804017</v>
      </c>
      <c r="F543" s="6" t="s">
        <v>23</v>
      </c>
      <c r="G543" s="6" t="s">
        <v>22</v>
      </c>
      <c r="H543" s="6" t="s">
        <v>40</v>
      </c>
      <c r="I543" s="23">
        <v>20258.669999999998</v>
      </c>
      <c r="J543" s="23">
        <v>21670.46</v>
      </c>
      <c r="K543" s="23">
        <v>1257</v>
      </c>
      <c r="L543" s="23"/>
      <c r="M543" s="23">
        <f>5066.17-17.5</f>
        <v>5048.67</v>
      </c>
      <c r="N543" s="23">
        <v>0</v>
      </c>
      <c r="O543" s="23">
        <f>+Table24[[#This Row],[FoodcostBlueline]]+Table24[[#This Row],[Pepsico]]</f>
        <v>5048.67</v>
      </c>
      <c r="P543" s="24">
        <f t="shared" si="24"/>
        <v>0.24921033809228349</v>
      </c>
      <c r="Q543" s="24"/>
      <c r="R543" s="23">
        <v>3917.24</v>
      </c>
      <c r="S543" s="25">
        <f t="shared" si="25"/>
        <v>0.19336116339325338</v>
      </c>
      <c r="T543" s="36"/>
      <c r="U543" s="36">
        <f>Table24[[#This Row],[WagesPercent]]+Table24[[#This Row],[FoodCostPercent]]</f>
        <v>0.44257150148553687</v>
      </c>
      <c r="V543" s="36"/>
    </row>
    <row r="544" spans="1:22" x14ac:dyDescent="0.25">
      <c r="A544" s="20">
        <v>543</v>
      </c>
      <c r="B544" s="21" t="s">
        <v>108</v>
      </c>
      <c r="C544" s="21" t="s">
        <v>107</v>
      </c>
      <c r="D544" s="6" t="s">
        <v>61</v>
      </c>
      <c r="E544" s="6">
        <v>3804018</v>
      </c>
      <c r="F544" s="6" t="s">
        <v>24</v>
      </c>
      <c r="G544" s="6" t="s">
        <v>20</v>
      </c>
      <c r="H544" s="6" t="s">
        <v>41</v>
      </c>
      <c r="I544" s="23">
        <v>21901.9</v>
      </c>
      <c r="J544" s="23">
        <v>20687.72</v>
      </c>
      <c r="K544" s="23">
        <v>1287</v>
      </c>
      <c r="L544" s="23"/>
      <c r="M544" s="23">
        <f>-12.35+6266.67+94.08-17.5</f>
        <v>6330.9</v>
      </c>
      <c r="N544" s="23">
        <v>806.59</v>
      </c>
      <c r="O544" s="23">
        <f>+Table24[[#This Row],[FoodcostBlueline]]+Table24[[#This Row],[Pepsico]]</f>
        <v>7137.49</v>
      </c>
      <c r="P544" s="24">
        <f t="shared" si="24"/>
        <v>0.32588451230258558</v>
      </c>
      <c r="Q544" s="24"/>
      <c r="R544" s="23">
        <v>4028.79</v>
      </c>
      <c r="S544" s="25">
        <f t="shared" si="25"/>
        <v>0.18394705482172777</v>
      </c>
      <c r="T544" s="36"/>
      <c r="U544" s="36">
        <f>Table24[[#This Row],[WagesPercent]]+Table24[[#This Row],[FoodCostPercent]]</f>
        <v>0.50983156712431332</v>
      </c>
      <c r="V544" s="36"/>
    </row>
    <row r="545" spans="1:22" x14ac:dyDescent="0.25">
      <c r="A545" s="20">
        <v>544</v>
      </c>
      <c r="B545" s="21" t="s">
        <v>108</v>
      </c>
      <c r="C545" s="21" t="s">
        <v>107</v>
      </c>
      <c r="D545" s="6" t="s">
        <v>61</v>
      </c>
      <c r="E545" s="6">
        <v>3804019</v>
      </c>
      <c r="F545" s="6" t="s">
        <v>25</v>
      </c>
      <c r="G545" s="6" t="s">
        <v>20</v>
      </c>
      <c r="H545" s="6" t="s">
        <v>41</v>
      </c>
      <c r="I545" s="37">
        <v>14107.85</v>
      </c>
      <c r="J545" s="23">
        <v>14460.84</v>
      </c>
      <c r="K545" s="23">
        <v>881</v>
      </c>
      <c r="L545" s="23"/>
      <c r="M545" s="23">
        <f>-12.35+4348.89-7.5</f>
        <v>4329.04</v>
      </c>
      <c r="N545" s="23">
        <v>250.17</v>
      </c>
      <c r="O545" s="23">
        <f>+Table24[[#This Row],[FoodcostBlueline]]+Table24[[#This Row],[Pepsico]]</f>
        <v>4579.21</v>
      </c>
      <c r="P545" s="24">
        <f t="shared" si="24"/>
        <v>0.32458595746339802</v>
      </c>
      <c r="Q545" s="24"/>
      <c r="R545" s="23">
        <v>3077.07</v>
      </c>
      <c r="S545" s="25">
        <f t="shared" si="25"/>
        <v>0.21811048458836749</v>
      </c>
      <c r="T545" s="36"/>
      <c r="U545" s="36">
        <f>Table24[[#This Row],[WagesPercent]]+Table24[[#This Row],[FoodCostPercent]]</f>
        <v>0.54269644205176548</v>
      </c>
      <c r="V545" s="36"/>
    </row>
    <row r="546" spans="1:22" x14ac:dyDescent="0.25">
      <c r="A546" s="20">
        <v>545</v>
      </c>
      <c r="B546" s="21" t="s">
        <v>108</v>
      </c>
      <c r="C546" s="21" t="s">
        <v>107</v>
      </c>
      <c r="D546" s="6" t="s">
        <v>61</v>
      </c>
      <c r="E546" s="6">
        <v>3804020</v>
      </c>
      <c r="F546" s="6" t="s">
        <v>26</v>
      </c>
      <c r="G546" s="6" t="s">
        <v>22</v>
      </c>
      <c r="H546" s="6" t="s">
        <v>40</v>
      </c>
      <c r="I546" s="23">
        <v>13200.52</v>
      </c>
      <c r="J546" s="23">
        <v>13406.16</v>
      </c>
      <c r="K546" s="23">
        <v>761</v>
      </c>
      <c r="L546" s="23"/>
      <c r="M546" s="23">
        <f>-12.35+3865.74-17.5</f>
        <v>3835.89</v>
      </c>
      <c r="N546" s="23">
        <v>119.25</v>
      </c>
      <c r="O546" s="23">
        <f>+Table24[[#This Row],[FoodcostBlueline]]+Table24[[#This Row],[Pepsico]]</f>
        <v>3955.14</v>
      </c>
      <c r="P546" s="24">
        <f t="shared" si="24"/>
        <v>0.29962001496910728</v>
      </c>
      <c r="Q546" s="24"/>
      <c r="R546" s="23">
        <v>2771.02</v>
      </c>
      <c r="S546" s="25">
        <f t="shared" si="25"/>
        <v>0.20991748809895366</v>
      </c>
      <c r="T546" s="36"/>
      <c r="U546" s="36">
        <f>Table24[[#This Row],[WagesPercent]]+Table24[[#This Row],[FoodCostPercent]]</f>
        <v>0.50953750306806089</v>
      </c>
      <c r="V546" s="36"/>
    </row>
    <row r="547" spans="1:22" x14ac:dyDescent="0.25">
      <c r="A547" s="20">
        <v>546</v>
      </c>
      <c r="B547" s="21" t="s">
        <v>108</v>
      </c>
      <c r="C547" s="21" t="s">
        <v>107</v>
      </c>
      <c r="D547" s="6" t="s">
        <v>61</v>
      </c>
      <c r="E547" s="6">
        <v>3804021</v>
      </c>
      <c r="F547" s="6" t="s">
        <v>27</v>
      </c>
      <c r="G547" s="6" t="s">
        <v>22</v>
      </c>
      <c r="H547" s="6" t="s">
        <v>40</v>
      </c>
      <c r="I547" s="23">
        <v>22250.46</v>
      </c>
      <c r="J547" s="23">
        <v>28301.58</v>
      </c>
      <c r="K547" s="23">
        <v>1344</v>
      </c>
      <c r="L547" s="23"/>
      <c r="M547" s="23">
        <f>6528.53-30</f>
        <v>6498.53</v>
      </c>
      <c r="N547" s="23">
        <v>224.64</v>
      </c>
      <c r="O547" s="23">
        <f>+Table24[[#This Row],[FoodcostBlueline]]+Table24[[#This Row],[Pepsico]]</f>
        <v>6723.17</v>
      </c>
      <c r="P547" s="24">
        <f t="shared" si="24"/>
        <v>0.30215869694379355</v>
      </c>
      <c r="Q547" s="24"/>
      <c r="R547" s="23">
        <v>4607.4399999999996</v>
      </c>
      <c r="S547" s="25">
        <f t="shared" si="25"/>
        <v>0.20707167402381793</v>
      </c>
      <c r="T547" s="36"/>
      <c r="U547" s="36">
        <f>Table24[[#This Row],[WagesPercent]]+Table24[[#This Row],[FoodCostPercent]]</f>
        <v>0.50923037096761148</v>
      </c>
      <c r="V547" s="36"/>
    </row>
    <row r="548" spans="1:22" x14ac:dyDescent="0.25">
      <c r="A548" s="20">
        <v>547</v>
      </c>
      <c r="B548" s="21" t="s">
        <v>108</v>
      </c>
      <c r="C548" s="21" t="s">
        <v>107</v>
      </c>
      <c r="D548" s="6" t="s">
        <v>61</v>
      </c>
      <c r="E548" s="6">
        <v>3804022</v>
      </c>
      <c r="F548" s="6" t="s">
        <v>28</v>
      </c>
      <c r="G548" s="6" t="s">
        <v>22</v>
      </c>
      <c r="H548" s="6" t="s">
        <v>40</v>
      </c>
      <c r="I548" s="23">
        <v>13954.07</v>
      </c>
      <c r="J548" s="23">
        <v>16321.9</v>
      </c>
      <c r="K548" s="23">
        <v>801</v>
      </c>
      <c r="L548" s="23"/>
      <c r="M548" s="23">
        <f>3327.03-7.5</f>
        <v>3319.53</v>
      </c>
      <c r="N548" s="23">
        <v>324.27</v>
      </c>
      <c r="O548" s="23">
        <f>+Table24[[#This Row],[FoodcostBlueline]]+Table24[[#This Row],[Pepsico]]</f>
        <v>3643.8</v>
      </c>
      <c r="P548" s="24">
        <f t="shared" si="24"/>
        <v>0.26112811530972685</v>
      </c>
      <c r="Q548" s="24"/>
      <c r="R548" s="23">
        <v>3363.82</v>
      </c>
      <c r="S548" s="25">
        <f t="shared" si="25"/>
        <v>0.24106371832734108</v>
      </c>
      <c r="T548" s="36"/>
      <c r="U548" s="36">
        <f>Table24[[#This Row],[WagesPercent]]+Table24[[#This Row],[FoodCostPercent]]</f>
        <v>0.50219183363706787</v>
      </c>
      <c r="V548" s="36"/>
    </row>
    <row r="549" spans="1:22" x14ac:dyDescent="0.25">
      <c r="A549" s="20">
        <v>548</v>
      </c>
      <c r="B549" s="21" t="s">
        <v>108</v>
      </c>
      <c r="C549" s="21" t="s">
        <v>107</v>
      </c>
      <c r="D549" s="6" t="s">
        <v>61</v>
      </c>
      <c r="E549" s="6">
        <v>3804023</v>
      </c>
      <c r="F549" s="6" t="s">
        <v>29</v>
      </c>
      <c r="G549" s="6" t="s">
        <v>22</v>
      </c>
      <c r="H549" s="6" t="s">
        <v>40</v>
      </c>
      <c r="I549" s="23">
        <v>15034.11</v>
      </c>
      <c r="J549" s="23">
        <v>17729.25</v>
      </c>
      <c r="K549" s="23">
        <v>933</v>
      </c>
      <c r="L549" s="23"/>
      <c r="M549" s="23">
        <f>3924.86-37.5</f>
        <v>3887.36</v>
      </c>
      <c r="N549" s="23">
        <v>364.75</v>
      </c>
      <c r="O549" s="23">
        <f>+Table24[[#This Row],[FoodcostBlueline]]+Table24[[#This Row],[Pepsico]]</f>
        <v>4252.1100000000006</v>
      </c>
      <c r="P549" s="24">
        <f t="shared" si="24"/>
        <v>0.28283084266378261</v>
      </c>
      <c r="Q549" s="24"/>
      <c r="R549" s="23">
        <v>3395.67</v>
      </c>
      <c r="S549" s="25">
        <f t="shared" si="25"/>
        <v>0.22586438438989737</v>
      </c>
      <c r="T549" s="36"/>
      <c r="U549" s="36">
        <f>Table24[[#This Row],[WagesPercent]]+Table24[[#This Row],[FoodCostPercent]]</f>
        <v>0.50869522705367998</v>
      </c>
      <c r="V549" s="36"/>
    </row>
    <row r="550" spans="1:22" x14ac:dyDescent="0.25">
      <c r="A550" s="20">
        <v>549</v>
      </c>
      <c r="B550" s="21" t="s">
        <v>108</v>
      </c>
      <c r="C550" s="21" t="s">
        <v>107</v>
      </c>
      <c r="D550" s="6" t="s">
        <v>61</v>
      </c>
      <c r="E550" s="6">
        <v>3804024</v>
      </c>
      <c r="F550" s="6" t="s">
        <v>30</v>
      </c>
      <c r="G550" s="6" t="s">
        <v>20</v>
      </c>
      <c r="H550" s="6" t="s">
        <v>41</v>
      </c>
      <c r="I550" s="23">
        <v>9854.65</v>
      </c>
      <c r="J550" s="23">
        <v>13512.91</v>
      </c>
      <c r="K550" s="23">
        <v>639</v>
      </c>
      <c r="L550" s="23"/>
      <c r="M550" s="23">
        <f>2923.86-51.25</f>
        <v>2872.61</v>
      </c>
      <c r="N550" s="23">
        <v>254.88</v>
      </c>
      <c r="O550" s="23">
        <f>+Table24[[#This Row],[FoodcostBlueline]]+Table24[[#This Row],[Pepsico]]</f>
        <v>3127.4900000000002</v>
      </c>
      <c r="P550" s="24">
        <f t="shared" si="24"/>
        <v>0.3173618545559711</v>
      </c>
      <c r="Q550" s="24"/>
      <c r="R550" s="23">
        <f>3318.74+69.23</f>
        <v>3387.97</v>
      </c>
      <c r="S550" s="25">
        <f t="shared" si="25"/>
        <v>0.3437940464653742</v>
      </c>
      <c r="T550" s="36"/>
      <c r="U550" s="36">
        <f>Table24[[#This Row],[WagesPercent]]+Table24[[#This Row],[FoodCostPercent]]</f>
        <v>0.66115590102134525</v>
      </c>
      <c r="V550" s="36"/>
    </row>
    <row r="551" spans="1:22" x14ac:dyDescent="0.25">
      <c r="A551" s="20">
        <v>550</v>
      </c>
      <c r="B551" s="21" t="s">
        <v>108</v>
      </c>
      <c r="C551" s="21" t="s">
        <v>107</v>
      </c>
      <c r="D551" s="6" t="s">
        <v>61</v>
      </c>
      <c r="E551" s="6">
        <v>3804025</v>
      </c>
      <c r="F551" s="6" t="s">
        <v>31</v>
      </c>
      <c r="G551" s="6" t="s">
        <v>20</v>
      </c>
      <c r="H551" s="6" t="s">
        <v>41</v>
      </c>
      <c r="I551" s="23">
        <v>24854.39</v>
      </c>
      <c r="J551" s="23">
        <v>26373.42</v>
      </c>
      <c r="K551" s="23">
        <v>1558</v>
      </c>
      <c r="L551" s="23"/>
      <c r="M551" s="23">
        <f>7886.01-57.5</f>
        <v>7828.51</v>
      </c>
      <c r="N551" s="23">
        <v>0</v>
      </c>
      <c r="O551" s="23">
        <f>+Table24[[#This Row],[FoodcostBlueline]]+Table24[[#This Row],[Pepsico]]</f>
        <v>7828.51</v>
      </c>
      <c r="P551" s="24">
        <f t="shared" si="24"/>
        <v>0.31497494004077348</v>
      </c>
      <c r="Q551" s="24"/>
      <c r="R551" s="23">
        <f>5287.28+60</f>
        <v>5347.28</v>
      </c>
      <c r="S551" s="25">
        <f t="shared" si="25"/>
        <v>0.21514428638160099</v>
      </c>
      <c r="T551" s="36"/>
      <c r="U551" s="36">
        <f>Table24[[#This Row],[WagesPercent]]+Table24[[#This Row],[FoodCostPercent]]</f>
        <v>0.53011922642237441</v>
      </c>
      <c r="V551" s="36"/>
    </row>
    <row r="552" spans="1:22" x14ac:dyDescent="0.25">
      <c r="A552" s="20">
        <v>551</v>
      </c>
      <c r="B552" s="21" t="s">
        <v>108</v>
      </c>
      <c r="C552" s="21" t="s">
        <v>107</v>
      </c>
      <c r="D552" s="6" t="s">
        <v>61</v>
      </c>
      <c r="E552" s="6">
        <v>3804026</v>
      </c>
      <c r="F552" s="6" t="s">
        <v>32</v>
      </c>
      <c r="G552" s="6" t="s">
        <v>79</v>
      </c>
      <c r="H552" s="6" t="s">
        <v>41</v>
      </c>
      <c r="I552" s="23">
        <v>13012.26</v>
      </c>
      <c r="J552" s="23">
        <v>14190.69</v>
      </c>
      <c r="K552" s="23">
        <v>777</v>
      </c>
      <c r="L552" s="23"/>
      <c r="M552" s="23">
        <f>4015.91-76.25</f>
        <v>3939.66</v>
      </c>
      <c r="N552" s="23">
        <v>266.98</v>
      </c>
      <c r="O552" s="23">
        <f>+Table24[[#This Row],[FoodcostBlueline]]+Table24[[#This Row],[Pepsico]]</f>
        <v>4206.6399999999994</v>
      </c>
      <c r="P552" s="24">
        <f t="shared" si="24"/>
        <v>0.32328281174830503</v>
      </c>
      <c r="Q552" s="24"/>
      <c r="R552" s="23">
        <v>3666.35</v>
      </c>
      <c r="S552" s="25">
        <f t="shared" si="25"/>
        <v>0.28176120059082743</v>
      </c>
      <c r="T552" s="36"/>
      <c r="U552" s="36">
        <f>Table24[[#This Row],[WagesPercent]]+Table24[[#This Row],[FoodCostPercent]]</f>
        <v>0.60504401233913252</v>
      </c>
      <c r="V552" s="36"/>
    </row>
    <row r="553" spans="1:22" x14ac:dyDescent="0.25">
      <c r="A553" s="20">
        <v>552</v>
      </c>
      <c r="B553" s="21" t="s">
        <v>108</v>
      </c>
      <c r="C553" s="21" t="s">
        <v>107</v>
      </c>
      <c r="D553" s="6" t="s">
        <v>61</v>
      </c>
      <c r="E553" s="6">
        <v>3804027</v>
      </c>
      <c r="F553" s="6" t="s">
        <v>33</v>
      </c>
      <c r="G553" s="6" t="s">
        <v>43</v>
      </c>
      <c r="H553" s="6" t="s">
        <v>41</v>
      </c>
      <c r="I553" s="23">
        <v>16696.54</v>
      </c>
      <c r="J553" s="23">
        <v>14646.4</v>
      </c>
      <c r="K553" s="23">
        <v>1128</v>
      </c>
      <c r="L553" s="23"/>
      <c r="M553" s="23">
        <f>5567.82+4.64-108.75</f>
        <v>5463.71</v>
      </c>
      <c r="N553" s="23">
        <v>544.52</v>
      </c>
      <c r="O553" s="23">
        <f>+Table24[[#This Row],[FoodcostBlueline]]+Table24[[#This Row],[Pepsico]]</f>
        <v>6008.23</v>
      </c>
      <c r="P553" s="24">
        <f t="shared" si="24"/>
        <v>0.35984880699833616</v>
      </c>
      <c r="Q553" s="24"/>
      <c r="R553" s="23">
        <f>1762.4+377+1600</f>
        <v>3739.4</v>
      </c>
      <c r="S553" s="25">
        <f t="shared" si="25"/>
        <v>0.22396256949044532</v>
      </c>
      <c r="T553" s="36"/>
      <c r="U553" s="36">
        <f>Table24[[#This Row],[WagesPercent]]+Table24[[#This Row],[FoodCostPercent]]</f>
        <v>0.58381137648878145</v>
      </c>
      <c r="V553" s="36"/>
    </row>
    <row r="554" spans="1:22" x14ac:dyDescent="0.25">
      <c r="A554" s="20">
        <v>553</v>
      </c>
      <c r="B554" s="21" t="s">
        <v>108</v>
      </c>
      <c r="C554" s="21" t="s">
        <v>107</v>
      </c>
      <c r="D554" s="6" t="s">
        <v>61</v>
      </c>
      <c r="E554" s="6">
        <v>3804029</v>
      </c>
      <c r="F554" s="6" t="s">
        <v>34</v>
      </c>
      <c r="G554" s="6" t="s">
        <v>79</v>
      </c>
      <c r="H554" s="6" t="s">
        <v>41</v>
      </c>
      <c r="I554" s="23">
        <v>8299.18</v>
      </c>
      <c r="J554" s="23">
        <v>10586.91</v>
      </c>
      <c r="K554" s="23">
        <v>600</v>
      </c>
      <c r="L554" s="23"/>
      <c r="M554" s="23">
        <f>3159.45+157.25-67.5</f>
        <v>3249.2</v>
      </c>
      <c r="N554" s="23">
        <v>524.38</v>
      </c>
      <c r="O554" s="23">
        <f>+Table24[[#This Row],[FoodcostBlueline]]+Table24[[#This Row],[Pepsico]]</f>
        <v>3773.58</v>
      </c>
      <c r="P554" s="24">
        <f t="shared" si="24"/>
        <v>0.45469311425948106</v>
      </c>
      <c r="Q554" s="24"/>
      <c r="R554" s="23">
        <f>842.55+1242.5+372</f>
        <v>2457.0500000000002</v>
      </c>
      <c r="S554" s="25">
        <f t="shared" si="25"/>
        <v>0.296059369720864</v>
      </c>
      <c r="T554" s="36"/>
      <c r="U554" s="36">
        <f>Table24[[#This Row],[WagesPercent]]+Table24[[#This Row],[FoodCostPercent]]</f>
        <v>0.750752483980345</v>
      </c>
      <c r="V554" s="36"/>
    </row>
    <row r="555" spans="1:22" x14ac:dyDescent="0.25">
      <c r="A555" s="20">
        <v>554</v>
      </c>
      <c r="B555" s="21" t="s">
        <v>108</v>
      </c>
      <c r="C555" s="21" t="s">
        <v>107</v>
      </c>
      <c r="D555" s="6" t="s">
        <v>61</v>
      </c>
      <c r="E555" s="6">
        <v>3804030</v>
      </c>
      <c r="F555" s="6" t="s">
        <v>35</v>
      </c>
      <c r="G555" s="6" t="s">
        <v>5</v>
      </c>
      <c r="H555" s="6" t="s">
        <v>40</v>
      </c>
      <c r="I555" s="23">
        <v>9809.85</v>
      </c>
      <c r="J555" s="23">
        <v>9456.18</v>
      </c>
      <c r="K555" s="23">
        <v>563</v>
      </c>
      <c r="L555" s="23"/>
      <c r="M555" s="23">
        <f>3588-83.75</f>
        <v>3504.25</v>
      </c>
      <c r="N555" s="23">
        <v>202.33</v>
      </c>
      <c r="O555" s="23">
        <f>+Table24[[#This Row],[FoodcostBlueline]]+Table24[[#This Row],[Pepsico]]</f>
        <v>3706.58</v>
      </c>
      <c r="P555" s="24">
        <f t="shared" si="24"/>
        <v>0.37784267853229148</v>
      </c>
      <c r="Q555" s="24"/>
      <c r="R555" s="23">
        <v>2656.87</v>
      </c>
      <c r="S555" s="25">
        <f t="shared" si="25"/>
        <v>0.27083696488733261</v>
      </c>
      <c r="T555" s="36"/>
      <c r="U555" s="36">
        <f>Table24[[#This Row],[WagesPercent]]+Table24[[#This Row],[FoodCostPercent]]</f>
        <v>0.64867964341962403</v>
      </c>
      <c r="V555" s="36"/>
    </row>
    <row r="556" spans="1:22" x14ac:dyDescent="0.25">
      <c r="A556" s="20">
        <v>555</v>
      </c>
      <c r="B556" s="21" t="s">
        <v>108</v>
      </c>
      <c r="C556" s="21" t="s">
        <v>107</v>
      </c>
      <c r="D556" s="6" t="s">
        <v>61</v>
      </c>
      <c r="E556" s="6">
        <v>3804031</v>
      </c>
      <c r="F556" s="6" t="s">
        <v>36</v>
      </c>
      <c r="G556" s="6" t="s">
        <v>5</v>
      </c>
      <c r="H556" s="6" t="s">
        <v>40</v>
      </c>
      <c r="I556" s="23">
        <v>10326.91</v>
      </c>
      <c r="J556" s="23">
        <v>8334.31</v>
      </c>
      <c r="K556" s="23">
        <v>674</v>
      </c>
      <c r="L556" s="23"/>
      <c r="M556" s="23">
        <f>3425.97-85</f>
        <v>3340.97</v>
      </c>
      <c r="N556" s="23">
        <v>291.83999999999997</v>
      </c>
      <c r="O556" s="23">
        <f>+Table24[[#This Row],[FoodcostBlueline]]+Table24[[#This Row],[Pepsico]]</f>
        <v>3632.81</v>
      </c>
      <c r="P556" s="24">
        <f t="shared" si="24"/>
        <v>0.3517809296294826</v>
      </c>
      <c r="Q556" s="24"/>
      <c r="R556" s="37">
        <f>2145.5+800</f>
        <v>2945.5</v>
      </c>
      <c r="S556" s="25">
        <f t="shared" si="25"/>
        <v>0.28522568706418472</v>
      </c>
      <c r="T556" s="36"/>
      <c r="U556" s="36">
        <f>Table24[[#This Row],[WagesPercent]]+Table24[[#This Row],[FoodCostPercent]]</f>
        <v>0.63700661669366732</v>
      </c>
      <c r="V556" s="36"/>
    </row>
    <row r="557" spans="1:22" x14ac:dyDescent="0.25">
      <c r="A557" s="20">
        <v>556</v>
      </c>
      <c r="B557" s="21" t="s">
        <v>108</v>
      </c>
      <c r="C557" s="21" t="s">
        <v>107</v>
      </c>
      <c r="D557" s="6" t="s">
        <v>61</v>
      </c>
      <c r="E557" s="6">
        <v>3804032</v>
      </c>
      <c r="F557" s="6" t="s">
        <v>37</v>
      </c>
      <c r="G557" s="6" t="s">
        <v>5</v>
      </c>
      <c r="H557" s="6" t="s">
        <v>40</v>
      </c>
      <c r="I557" s="23">
        <v>9787.1</v>
      </c>
      <c r="J557" s="23">
        <v>5596.28</v>
      </c>
      <c r="K557" s="23">
        <v>594</v>
      </c>
      <c r="L557" s="23"/>
      <c r="M557" s="23">
        <f>-12.35+3255.8-111.25</f>
        <v>3132.2000000000003</v>
      </c>
      <c r="N557" s="23">
        <v>434.23</v>
      </c>
      <c r="O557" s="23">
        <f>+Table24[[#This Row],[FoodcostBlueline]]+Table24[[#This Row],[Pepsico]]</f>
        <v>3566.4300000000003</v>
      </c>
      <c r="P557" s="24">
        <f t="shared" si="24"/>
        <v>0.36440109940636145</v>
      </c>
      <c r="Q557" s="24"/>
      <c r="R557" s="23">
        <f>1350+850+200</f>
        <v>2400</v>
      </c>
      <c r="S557" s="25">
        <f t="shared" si="25"/>
        <v>0.2452207497624424</v>
      </c>
      <c r="T557" s="36"/>
      <c r="U557" s="36">
        <f>Table24[[#This Row],[WagesPercent]]+Table24[[#This Row],[FoodCostPercent]]</f>
        <v>0.60962184916880391</v>
      </c>
      <c r="V557" s="36"/>
    </row>
    <row r="558" spans="1:22" x14ac:dyDescent="0.25">
      <c r="A558" s="20">
        <v>557</v>
      </c>
      <c r="B558" s="21" t="s">
        <v>108</v>
      </c>
      <c r="C558" s="21" t="s">
        <v>107</v>
      </c>
      <c r="D558" s="6" t="s">
        <v>61</v>
      </c>
      <c r="E558" s="6">
        <v>3804033</v>
      </c>
      <c r="F558" s="6" t="s">
        <v>38</v>
      </c>
      <c r="G558" s="6" t="s">
        <v>5</v>
      </c>
      <c r="H558" s="6" t="s">
        <v>40</v>
      </c>
      <c r="I558" s="23">
        <v>7950.74</v>
      </c>
      <c r="J558" s="23">
        <v>8935.9500000000007</v>
      </c>
      <c r="K558" s="23">
        <v>578</v>
      </c>
      <c r="L558" s="23"/>
      <c r="M558" s="23">
        <f>93.6+2440.77-12.35-58.75</f>
        <v>2463.27</v>
      </c>
      <c r="N558" s="23">
        <v>232.54</v>
      </c>
      <c r="O558" s="23">
        <f>+Table24[[#This Row],[FoodcostBlueline]]+Table24[[#This Row],[Pepsico]]</f>
        <v>2695.81</v>
      </c>
      <c r="P558" s="24">
        <f t="shared" si="24"/>
        <v>0.33906403680663688</v>
      </c>
      <c r="Q558" s="24"/>
      <c r="R558" s="23">
        <f>1350+850+165.58</f>
        <v>2365.58</v>
      </c>
      <c r="S558" s="25">
        <f t="shared" si="25"/>
        <v>0.29752953813104188</v>
      </c>
      <c r="T558" s="36"/>
      <c r="U558" s="36">
        <f>Table24[[#This Row],[WagesPercent]]+Table24[[#This Row],[FoodCostPercent]]</f>
        <v>0.63659357493767876</v>
      </c>
      <c r="V558" s="36"/>
    </row>
    <row r="559" spans="1:22" x14ac:dyDescent="0.25">
      <c r="A559" s="20">
        <v>558</v>
      </c>
      <c r="B559" s="21" t="s">
        <v>108</v>
      </c>
      <c r="C559" s="21" t="s">
        <v>107</v>
      </c>
      <c r="D559" s="6" t="s">
        <v>61</v>
      </c>
      <c r="E559" s="6">
        <v>3804034</v>
      </c>
      <c r="F559" s="6" t="s">
        <v>53</v>
      </c>
      <c r="G559" s="6" t="s">
        <v>79</v>
      </c>
      <c r="H559" s="6" t="s">
        <v>41</v>
      </c>
      <c r="I559" s="23">
        <v>7903</v>
      </c>
      <c r="J559" s="23">
        <v>12361.24</v>
      </c>
      <c r="K559" s="23">
        <v>476</v>
      </c>
      <c r="L559" s="23"/>
      <c r="M559" s="23">
        <f>2451.62-17.5</f>
        <v>2434.12</v>
      </c>
      <c r="N559" s="23">
        <v>63.45</v>
      </c>
      <c r="O559" s="23">
        <f>+Table24[[#This Row],[FoodcostBlueline]]+Table24[[#This Row],[Pepsico]]</f>
        <v>2497.5699999999997</v>
      </c>
      <c r="P559" s="24">
        <f t="shared" si="24"/>
        <v>0.31602809059850684</v>
      </c>
      <c r="Q559" s="24"/>
      <c r="R559" s="23">
        <v>2400</v>
      </c>
      <c r="S559" s="25">
        <f t="shared" si="25"/>
        <v>0.30368214602049853</v>
      </c>
      <c r="T559" s="36"/>
      <c r="U559" s="36">
        <f>Table24[[#This Row],[WagesPercent]]+Table24[[#This Row],[FoodCostPercent]]</f>
        <v>0.61971023661900537</v>
      </c>
      <c r="V559" s="36"/>
    </row>
    <row r="560" spans="1:22" x14ac:dyDescent="0.25">
      <c r="A560" s="20">
        <v>559</v>
      </c>
      <c r="B560" s="21" t="s">
        <v>109</v>
      </c>
      <c r="C560" s="21" t="s">
        <v>107</v>
      </c>
      <c r="D560" s="6" t="s">
        <v>62</v>
      </c>
      <c r="E560" s="6">
        <v>3804001</v>
      </c>
      <c r="F560" s="6" t="s">
        <v>4</v>
      </c>
      <c r="G560" s="6" t="s">
        <v>5</v>
      </c>
      <c r="H560" s="6" t="s">
        <v>40</v>
      </c>
      <c r="I560" s="23">
        <v>25652.68</v>
      </c>
      <c r="J560" s="23">
        <v>26697.99</v>
      </c>
      <c r="K560" s="23">
        <v>1656</v>
      </c>
      <c r="L560" s="23"/>
      <c r="M560" s="23">
        <v>7734.23</v>
      </c>
      <c r="N560" s="23">
        <v>932.98</v>
      </c>
      <c r="O560" s="23">
        <f>+Table24[[#This Row],[FoodcostBlueline]]+Table24[[#This Row],[Pepsico]]</f>
        <v>8667.2099999999991</v>
      </c>
      <c r="P560" s="24">
        <f t="shared" si="24"/>
        <v>0.33786762240826296</v>
      </c>
      <c r="Q560" s="24"/>
      <c r="R560" s="23">
        <f>4998.86+630+165.58</f>
        <v>5794.44</v>
      </c>
      <c r="S560" s="25">
        <f t="shared" si="25"/>
        <v>0.22588049279841324</v>
      </c>
      <c r="T560" s="36"/>
      <c r="U560" s="36">
        <f>Table24[[#This Row],[WagesPercent]]+Table24[[#This Row],[FoodCostPercent]]</f>
        <v>0.56374811520667623</v>
      </c>
      <c r="V560" s="36"/>
    </row>
    <row r="561" spans="1:22" x14ac:dyDescent="0.25">
      <c r="A561" s="20">
        <v>560</v>
      </c>
      <c r="B561" s="21" t="s">
        <v>109</v>
      </c>
      <c r="C561" s="21" t="s">
        <v>107</v>
      </c>
      <c r="D561" s="6" t="s">
        <v>62</v>
      </c>
      <c r="E561" s="6">
        <v>3804002</v>
      </c>
      <c r="F561" s="6" t="s">
        <v>6</v>
      </c>
      <c r="G561" s="6" t="s">
        <v>7</v>
      </c>
      <c r="H561" s="6" t="s">
        <v>41</v>
      </c>
      <c r="I561" s="23">
        <v>13622.52</v>
      </c>
      <c r="J561" s="23">
        <v>13985.89</v>
      </c>
      <c r="K561" s="23">
        <v>1078</v>
      </c>
      <c r="L561" s="23"/>
      <c r="M561" s="23">
        <v>3949.79</v>
      </c>
      <c r="N561" s="23">
        <v>650.42999999999995</v>
      </c>
      <c r="O561" s="23">
        <f>+Table24[[#This Row],[FoodcostBlueline]]+Table24[[#This Row],[Pepsico]]</f>
        <v>4600.22</v>
      </c>
      <c r="P561" s="24">
        <f t="shared" si="24"/>
        <v>0.33769229188138467</v>
      </c>
      <c r="Q561" s="24"/>
      <c r="R561" s="23">
        <v>3635.19</v>
      </c>
      <c r="S561" s="25">
        <f t="shared" si="25"/>
        <v>0.26685150765056687</v>
      </c>
      <c r="T561" s="36"/>
      <c r="U561" s="36">
        <f>Table24[[#This Row],[WagesPercent]]+Table24[[#This Row],[FoodCostPercent]]</f>
        <v>0.60454379953195159</v>
      </c>
      <c r="V561" s="36"/>
    </row>
    <row r="562" spans="1:22" x14ac:dyDescent="0.25">
      <c r="A562" s="20">
        <v>561</v>
      </c>
      <c r="B562" s="21" t="s">
        <v>109</v>
      </c>
      <c r="C562" s="21" t="s">
        <v>107</v>
      </c>
      <c r="D562" s="6" t="s">
        <v>62</v>
      </c>
      <c r="E562" s="6">
        <v>3804003</v>
      </c>
      <c r="F562" s="6" t="s">
        <v>8</v>
      </c>
      <c r="G562" s="6" t="s">
        <v>7</v>
      </c>
      <c r="H562" s="6" t="s">
        <v>41</v>
      </c>
      <c r="I562" s="23">
        <v>11512.31</v>
      </c>
      <c r="J562" s="23">
        <v>11257.87</v>
      </c>
      <c r="K562" s="23">
        <v>768</v>
      </c>
      <c r="L562" s="23"/>
      <c r="M562" s="23">
        <v>3749.74</v>
      </c>
      <c r="N562" s="23">
        <v>391.93</v>
      </c>
      <c r="O562" s="23">
        <f>+Table24[[#This Row],[FoodcostBlueline]]+Table24[[#This Row],[Pepsico]]</f>
        <v>4141.67</v>
      </c>
      <c r="P562" s="24">
        <f t="shared" si="24"/>
        <v>0.35976011764797855</v>
      </c>
      <c r="Q562" s="24"/>
      <c r="R562" s="23">
        <v>2793.83</v>
      </c>
      <c r="S562" s="25">
        <f t="shared" si="25"/>
        <v>0.24268196391514824</v>
      </c>
      <c r="T562" s="36"/>
      <c r="U562" s="36">
        <f>Table24[[#This Row],[WagesPercent]]+Table24[[#This Row],[FoodCostPercent]]</f>
        <v>0.60244208156312684</v>
      </c>
      <c r="V562" s="36"/>
    </row>
    <row r="563" spans="1:22" x14ac:dyDescent="0.25">
      <c r="A563" s="20">
        <v>562</v>
      </c>
      <c r="B563" s="21" t="s">
        <v>109</v>
      </c>
      <c r="C563" s="21" t="s">
        <v>107</v>
      </c>
      <c r="D563" s="6" t="s">
        <v>62</v>
      </c>
      <c r="E563" s="6">
        <v>3804004</v>
      </c>
      <c r="F563" s="6" t="s">
        <v>9</v>
      </c>
      <c r="G563" s="6" t="s">
        <v>7</v>
      </c>
      <c r="H563" s="6" t="s">
        <v>41</v>
      </c>
      <c r="I563" s="23">
        <v>16245.64</v>
      </c>
      <c r="J563" s="23">
        <v>13173.75</v>
      </c>
      <c r="K563" s="23">
        <v>1128</v>
      </c>
      <c r="L563" s="23"/>
      <c r="M563" s="23">
        <v>4390.84</v>
      </c>
      <c r="N563" s="23">
        <v>0</v>
      </c>
      <c r="O563" s="23">
        <f>+Table24[[#This Row],[FoodcostBlueline]]+Table24[[#This Row],[Pepsico]]</f>
        <v>4390.84</v>
      </c>
      <c r="P563" s="24">
        <f t="shared" si="24"/>
        <v>0.27027805614306366</v>
      </c>
      <c r="Q563" s="24"/>
      <c r="R563" s="23">
        <v>3898.61</v>
      </c>
      <c r="S563" s="25">
        <f t="shared" si="25"/>
        <v>0.23997884970982986</v>
      </c>
      <c r="T563" s="36"/>
      <c r="U563" s="36">
        <f>Table24[[#This Row],[WagesPercent]]+Table24[[#This Row],[FoodCostPercent]]</f>
        <v>0.51025690585289352</v>
      </c>
      <c r="V563" s="36"/>
    </row>
    <row r="564" spans="1:22" x14ac:dyDescent="0.25">
      <c r="A564" s="20">
        <v>563</v>
      </c>
      <c r="B564" s="21" t="s">
        <v>109</v>
      </c>
      <c r="C564" s="21" t="s">
        <v>107</v>
      </c>
      <c r="D564" s="6" t="s">
        <v>62</v>
      </c>
      <c r="E564" s="6">
        <v>3804005</v>
      </c>
      <c r="F564" s="6" t="s">
        <v>10</v>
      </c>
      <c r="G564" s="6" t="s">
        <v>7</v>
      </c>
      <c r="H564" s="6" t="s">
        <v>41</v>
      </c>
      <c r="I564" s="23">
        <v>14434.22</v>
      </c>
      <c r="J564" s="23">
        <v>13993.14</v>
      </c>
      <c r="K564" s="23">
        <v>919</v>
      </c>
      <c r="L564" s="23"/>
      <c r="M564" s="23">
        <v>3088.05</v>
      </c>
      <c r="N564" s="23">
        <v>675.81</v>
      </c>
      <c r="O564" s="23">
        <f>+Table24[[#This Row],[FoodcostBlueline]]+Table24[[#This Row],[Pepsico]]</f>
        <v>3763.86</v>
      </c>
      <c r="P564" s="24">
        <f t="shared" si="24"/>
        <v>0.26075950068656295</v>
      </c>
      <c r="Q564" s="24"/>
      <c r="R564" s="23">
        <v>3941.89</v>
      </c>
      <c r="S564" s="25">
        <f t="shared" si="25"/>
        <v>0.27309338502530794</v>
      </c>
      <c r="T564" s="36"/>
      <c r="U564" s="36">
        <f>Table24[[#This Row],[WagesPercent]]+Table24[[#This Row],[FoodCostPercent]]</f>
        <v>0.53385288571187095</v>
      </c>
      <c r="V564" s="36"/>
    </row>
    <row r="565" spans="1:22" x14ac:dyDescent="0.25">
      <c r="A565" s="20">
        <v>564</v>
      </c>
      <c r="B565" s="21" t="s">
        <v>109</v>
      </c>
      <c r="C565" s="21" t="s">
        <v>107</v>
      </c>
      <c r="D565" s="6" t="s">
        <v>62</v>
      </c>
      <c r="E565" s="6">
        <v>3804006</v>
      </c>
      <c r="F565" s="6" t="s">
        <v>11</v>
      </c>
      <c r="G565" s="6" t="s">
        <v>7</v>
      </c>
      <c r="H565" s="6" t="s">
        <v>41</v>
      </c>
      <c r="I565" s="23">
        <v>9257.92</v>
      </c>
      <c r="J565" s="23">
        <v>10530.5</v>
      </c>
      <c r="K565" s="23">
        <v>682</v>
      </c>
      <c r="L565" s="23"/>
      <c r="M565" s="23">
        <v>2781.61</v>
      </c>
      <c r="N565" s="23">
        <v>505.01</v>
      </c>
      <c r="O565" s="23">
        <f>+Table24[[#This Row],[FoodcostBlueline]]+Table24[[#This Row],[Pepsico]]</f>
        <v>3286.62</v>
      </c>
      <c r="P565" s="24">
        <f t="shared" si="24"/>
        <v>0.35500630811240536</v>
      </c>
      <c r="Q565" s="24"/>
      <c r="R565" s="23">
        <v>1829</v>
      </c>
      <c r="S565" s="25">
        <f t="shared" si="25"/>
        <v>0.19756057516159137</v>
      </c>
      <c r="T565" s="36"/>
      <c r="U565" s="36">
        <f>Table24[[#This Row],[WagesPercent]]+Table24[[#This Row],[FoodCostPercent]]</f>
        <v>0.55256688327399672</v>
      </c>
      <c r="V565" s="36"/>
    </row>
    <row r="566" spans="1:22" x14ac:dyDescent="0.25">
      <c r="A566" s="20">
        <v>565</v>
      </c>
      <c r="B566" s="21" t="s">
        <v>109</v>
      </c>
      <c r="C566" s="21" t="s">
        <v>107</v>
      </c>
      <c r="D566" s="6" t="s">
        <v>62</v>
      </c>
      <c r="E566" s="6">
        <v>3804008</v>
      </c>
      <c r="F566" s="6" t="s">
        <v>12</v>
      </c>
      <c r="G566" s="6" t="s">
        <v>42</v>
      </c>
      <c r="H566" s="6" t="s">
        <v>41</v>
      </c>
      <c r="I566" s="23">
        <v>22566.32</v>
      </c>
      <c r="J566" s="23">
        <v>20775.2</v>
      </c>
      <c r="K566" s="23">
        <v>1374</v>
      </c>
      <c r="L566" s="23"/>
      <c r="M566" s="23">
        <f>6385.4-12.35</f>
        <v>6373.0499999999993</v>
      </c>
      <c r="N566" s="23">
        <v>434.31</v>
      </c>
      <c r="O566" s="23">
        <f>+Table24[[#This Row],[FoodcostBlueline]]+Table24[[#This Row],[Pepsico]]</f>
        <v>6807.36</v>
      </c>
      <c r="P566" s="24">
        <f t="shared" si="24"/>
        <v>0.30166017321388688</v>
      </c>
      <c r="Q566" s="24"/>
      <c r="R566" s="23">
        <f>422.64+4855</f>
        <v>5277.64</v>
      </c>
      <c r="S566" s="25">
        <f t="shared" si="25"/>
        <v>0.2338724258097909</v>
      </c>
      <c r="T566" s="36"/>
      <c r="U566" s="36">
        <f>Table24[[#This Row],[WagesPercent]]+Table24[[#This Row],[FoodCostPercent]]</f>
        <v>0.53553259902367778</v>
      </c>
      <c r="V566" s="36"/>
    </row>
    <row r="567" spans="1:22" x14ac:dyDescent="0.25">
      <c r="A567" s="20">
        <v>566</v>
      </c>
      <c r="B567" s="21" t="s">
        <v>109</v>
      </c>
      <c r="C567" s="21" t="s">
        <v>107</v>
      </c>
      <c r="D567" s="6" t="s">
        <v>62</v>
      </c>
      <c r="E567" s="6">
        <v>3804009</v>
      </c>
      <c r="F567" s="6" t="s">
        <v>13</v>
      </c>
      <c r="G567" s="6" t="s">
        <v>42</v>
      </c>
      <c r="H567" s="6" t="s">
        <v>41</v>
      </c>
      <c r="I567" s="23">
        <v>16286.28</v>
      </c>
      <c r="J567" s="23">
        <v>14673.4</v>
      </c>
      <c r="K567" s="23">
        <v>992</v>
      </c>
      <c r="L567" s="23"/>
      <c r="M567" s="23">
        <v>4594.8999999999996</v>
      </c>
      <c r="N567" s="23">
        <v>622.89</v>
      </c>
      <c r="O567" s="23">
        <f>+Table24[[#This Row],[FoodcostBlueline]]+Table24[[#This Row],[Pepsico]]</f>
        <v>5217.79</v>
      </c>
      <c r="P567" s="24">
        <f t="shared" si="24"/>
        <v>0.32037948506350128</v>
      </c>
      <c r="Q567" s="24"/>
      <c r="R567" s="23">
        <f>338.64+3276</f>
        <v>3614.64</v>
      </c>
      <c r="S567" s="25">
        <f t="shared" si="25"/>
        <v>0.22194386931822366</v>
      </c>
      <c r="T567" s="36"/>
      <c r="U567" s="36">
        <f>Table24[[#This Row],[WagesPercent]]+Table24[[#This Row],[FoodCostPercent]]</f>
        <v>0.54232335438172496</v>
      </c>
      <c r="V567" s="36"/>
    </row>
    <row r="568" spans="1:22" x14ac:dyDescent="0.25">
      <c r="A568" s="20">
        <v>567</v>
      </c>
      <c r="B568" s="21" t="s">
        <v>109</v>
      </c>
      <c r="C568" s="21" t="s">
        <v>107</v>
      </c>
      <c r="D568" s="6" t="s">
        <v>62</v>
      </c>
      <c r="E568" s="6">
        <v>3804010</v>
      </c>
      <c r="F568" s="6" t="s">
        <v>14</v>
      </c>
      <c r="G568" s="6" t="s">
        <v>42</v>
      </c>
      <c r="H568" s="6" t="s">
        <v>41</v>
      </c>
      <c r="I568" s="23">
        <v>8589.33</v>
      </c>
      <c r="J568" s="23">
        <v>9343.3700000000008</v>
      </c>
      <c r="K568" s="23">
        <v>478</v>
      </c>
      <c r="L568" s="23"/>
      <c r="M568" s="23">
        <v>2052.7800000000002</v>
      </c>
      <c r="N568" s="23">
        <v>0</v>
      </c>
      <c r="O568" s="23">
        <f>+Table24[[#This Row],[FoodcostBlueline]]+Table24[[#This Row],[Pepsico]]</f>
        <v>2052.7800000000002</v>
      </c>
      <c r="P568" s="24">
        <f t="shared" si="24"/>
        <v>0.2389918654889264</v>
      </c>
      <c r="Q568" s="24"/>
      <c r="R568" s="23">
        <v>1500</v>
      </c>
      <c r="S568" s="25">
        <f t="shared" si="25"/>
        <v>0.17463527422977113</v>
      </c>
      <c r="T568" s="36"/>
      <c r="U568" s="36">
        <f>Table24[[#This Row],[WagesPercent]]+Table24[[#This Row],[FoodCostPercent]]</f>
        <v>0.41362713971869752</v>
      </c>
      <c r="V568" s="36"/>
    </row>
    <row r="569" spans="1:22" x14ac:dyDescent="0.25">
      <c r="A569" s="20">
        <v>568</v>
      </c>
      <c r="B569" s="21" t="s">
        <v>109</v>
      </c>
      <c r="C569" s="21" t="s">
        <v>107</v>
      </c>
      <c r="D569" s="6" t="s">
        <v>62</v>
      </c>
      <c r="E569" s="6">
        <v>3804011</v>
      </c>
      <c r="F569" s="6" t="s">
        <v>15</v>
      </c>
      <c r="G569" s="6" t="s">
        <v>79</v>
      </c>
      <c r="H569" s="6" t="s">
        <v>41</v>
      </c>
      <c r="I569" s="23">
        <v>28089.53</v>
      </c>
      <c r="J569" s="23">
        <v>21270.06</v>
      </c>
      <c r="K569" s="23">
        <v>1777</v>
      </c>
      <c r="L569" s="23"/>
      <c r="M569" s="23">
        <v>7716.6</v>
      </c>
      <c r="N569" s="23">
        <v>682.98</v>
      </c>
      <c r="O569" s="23">
        <f>+Table24[[#This Row],[FoodcostBlueline]]+Table24[[#This Row],[Pepsico]]</f>
        <v>8399.58</v>
      </c>
      <c r="P569" s="24">
        <f t="shared" si="24"/>
        <v>0.29902885523538486</v>
      </c>
      <c r="Q569" s="24"/>
      <c r="R569" s="23">
        <f>3366.38+650</f>
        <v>4016.38</v>
      </c>
      <c r="S569" s="25">
        <f t="shared" si="25"/>
        <v>0.1429849484843641</v>
      </c>
      <c r="T569" s="36"/>
      <c r="U569" s="36">
        <f>Table24[[#This Row],[WagesPercent]]+Table24[[#This Row],[FoodCostPercent]]</f>
        <v>0.44201380371974897</v>
      </c>
      <c r="V569" s="36"/>
    </row>
    <row r="570" spans="1:22" x14ac:dyDescent="0.25">
      <c r="A570" s="20">
        <v>569</v>
      </c>
      <c r="B570" s="21" t="s">
        <v>109</v>
      </c>
      <c r="C570" s="21" t="s">
        <v>107</v>
      </c>
      <c r="D570" s="6" t="s">
        <v>62</v>
      </c>
      <c r="E570" s="6">
        <v>3804013</v>
      </c>
      <c r="F570" s="6" t="s">
        <v>17</v>
      </c>
      <c r="G570" s="6" t="s">
        <v>79</v>
      </c>
      <c r="H570" s="6" t="s">
        <v>41</v>
      </c>
      <c r="I570" s="23">
        <v>8478.7900000000009</v>
      </c>
      <c r="J570" s="23">
        <v>7959.05</v>
      </c>
      <c r="K570" s="23">
        <v>527</v>
      </c>
      <c r="L570" s="23"/>
      <c r="M570" s="23">
        <v>2690.15</v>
      </c>
      <c r="N570" s="23">
        <v>367.15</v>
      </c>
      <c r="O570" s="23">
        <f>+Table24[[#This Row],[FoodcostBlueline]]+Table24[[#This Row],[Pepsico]]</f>
        <v>3057.3</v>
      </c>
      <c r="P570" s="24">
        <f t="shared" si="24"/>
        <v>0.36058211136258828</v>
      </c>
      <c r="Q570" s="24"/>
      <c r="R570" s="23">
        <v>2066.92</v>
      </c>
      <c r="S570" s="25">
        <f t="shared" si="25"/>
        <v>0.2437753500204628</v>
      </c>
      <c r="T570" s="36"/>
      <c r="U570" s="36">
        <f>Table24[[#This Row],[WagesPercent]]+Table24[[#This Row],[FoodCostPercent]]</f>
        <v>0.60435746138305113</v>
      </c>
      <c r="V570" s="36"/>
    </row>
    <row r="571" spans="1:22" x14ac:dyDescent="0.25">
      <c r="A571" s="20">
        <v>570</v>
      </c>
      <c r="B571" s="21" t="s">
        <v>109</v>
      </c>
      <c r="C571" s="21" t="s">
        <v>107</v>
      </c>
      <c r="D571" s="6" t="s">
        <v>62</v>
      </c>
      <c r="E571" s="6">
        <v>3804014</v>
      </c>
      <c r="F571" s="6" t="s">
        <v>18</v>
      </c>
      <c r="G571" s="6" t="s">
        <v>79</v>
      </c>
      <c r="H571" s="6" t="s">
        <v>41</v>
      </c>
      <c r="I571" s="23">
        <v>8208.39</v>
      </c>
      <c r="J571" s="23">
        <v>6105.31</v>
      </c>
      <c r="K571" s="23">
        <v>501</v>
      </c>
      <c r="L571" s="23"/>
      <c r="M571" s="23">
        <f>2477.04-12.35</f>
        <v>2464.69</v>
      </c>
      <c r="N571" s="23">
        <v>297.16000000000003</v>
      </c>
      <c r="O571" s="23">
        <f>+Table24[[#This Row],[FoodcostBlueline]]+Table24[[#This Row],[Pepsico]]</f>
        <v>2761.85</v>
      </c>
      <c r="P571" s="24">
        <f t="shared" si="24"/>
        <v>0.33646671271711021</v>
      </c>
      <c r="Q571" s="24"/>
      <c r="R571" s="23">
        <v>2079.54</v>
      </c>
      <c r="S571" s="25">
        <f t="shared" si="25"/>
        <v>0.25334322565082801</v>
      </c>
      <c r="T571" s="36"/>
      <c r="U571" s="36">
        <f>Table24[[#This Row],[WagesPercent]]+Table24[[#This Row],[FoodCostPercent]]</f>
        <v>0.58980993836793827</v>
      </c>
      <c r="V571" s="36"/>
    </row>
    <row r="572" spans="1:22" x14ac:dyDescent="0.25">
      <c r="A572" s="20">
        <v>571</v>
      </c>
      <c r="B572" s="21" t="s">
        <v>109</v>
      </c>
      <c r="C572" s="21" t="s">
        <v>107</v>
      </c>
      <c r="D572" s="6" t="s">
        <v>62</v>
      </c>
      <c r="E572" s="6">
        <v>3804015</v>
      </c>
      <c r="F572" s="6" t="s">
        <v>19</v>
      </c>
      <c r="G572" s="6" t="s">
        <v>20</v>
      </c>
      <c r="H572" s="6" t="s">
        <v>41</v>
      </c>
      <c r="I572" s="23">
        <v>14702.19</v>
      </c>
      <c r="J572" s="23">
        <v>16066.24</v>
      </c>
      <c r="K572" s="23">
        <v>943</v>
      </c>
      <c r="L572" s="23"/>
      <c r="M572" s="23">
        <v>5003.72</v>
      </c>
      <c r="N572" s="23">
        <v>0</v>
      </c>
      <c r="O572" s="23">
        <f>+Table24[[#This Row],[FoodcostBlueline]]+Table24[[#This Row],[Pepsico]]</f>
        <v>5003.72</v>
      </c>
      <c r="P572" s="24">
        <f t="shared" si="24"/>
        <v>0.34033841216852728</v>
      </c>
      <c r="Q572" s="24"/>
      <c r="R572" s="23">
        <v>3619.48</v>
      </c>
      <c r="S572" s="25">
        <f t="shared" si="25"/>
        <v>0.24618645249449231</v>
      </c>
      <c r="T572" s="36"/>
      <c r="U572" s="36">
        <f>Table24[[#This Row],[WagesPercent]]+Table24[[#This Row],[FoodCostPercent]]</f>
        <v>0.58652486466301956</v>
      </c>
      <c r="V572" s="36"/>
    </row>
    <row r="573" spans="1:22" x14ac:dyDescent="0.25">
      <c r="A573" s="20">
        <v>572</v>
      </c>
      <c r="B573" s="21" t="s">
        <v>109</v>
      </c>
      <c r="C573" s="21" t="s">
        <v>107</v>
      </c>
      <c r="D573" s="6" t="s">
        <v>62</v>
      </c>
      <c r="E573" s="6">
        <v>3804016</v>
      </c>
      <c r="F573" s="6" t="s">
        <v>21</v>
      </c>
      <c r="G573" s="6" t="s">
        <v>22</v>
      </c>
      <c r="H573" s="6" t="s">
        <v>40</v>
      </c>
      <c r="I573" s="23">
        <v>13474.27</v>
      </c>
      <c r="J573" s="23">
        <v>14461.57</v>
      </c>
      <c r="K573" s="23">
        <v>756</v>
      </c>
      <c r="L573" s="23"/>
      <c r="M573" s="23">
        <v>4059.4</v>
      </c>
      <c r="N573" s="23">
        <v>316.89999999999998</v>
      </c>
      <c r="O573" s="23">
        <f>+Table24[[#This Row],[FoodcostBlueline]]+Table24[[#This Row],[Pepsico]]</f>
        <v>4376.3</v>
      </c>
      <c r="P573" s="24">
        <f t="shared" si="24"/>
        <v>0.32478939489857334</v>
      </c>
      <c r="Q573" s="24"/>
      <c r="R573" s="23">
        <v>2772.07</v>
      </c>
      <c r="S573" s="25">
        <f t="shared" si="25"/>
        <v>0.20573062585208698</v>
      </c>
      <c r="T573" s="36"/>
      <c r="U573" s="36">
        <f>Table24[[#This Row],[WagesPercent]]+Table24[[#This Row],[FoodCostPercent]]</f>
        <v>0.53052002075066029</v>
      </c>
      <c r="V573" s="36"/>
    </row>
    <row r="574" spans="1:22" x14ac:dyDescent="0.25">
      <c r="A574" s="20">
        <v>573</v>
      </c>
      <c r="B574" s="21" t="s">
        <v>109</v>
      </c>
      <c r="C574" s="21" t="s">
        <v>107</v>
      </c>
      <c r="D574" s="6" t="s">
        <v>62</v>
      </c>
      <c r="E574" s="6">
        <v>3804017</v>
      </c>
      <c r="F574" s="6" t="s">
        <v>23</v>
      </c>
      <c r="G574" s="6" t="s">
        <v>22</v>
      </c>
      <c r="H574" s="6" t="s">
        <v>40</v>
      </c>
      <c r="I574" s="23">
        <v>16421.75</v>
      </c>
      <c r="J574" s="23">
        <v>18977.830000000002</v>
      </c>
      <c r="K574" s="23">
        <v>1040</v>
      </c>
      <c r="L574" s="23"/>
      <c r="M574" s="23">
        <v>6065.06</v>
      </c>
      <c r="N574" s="23">
        <v>446.08</v>
      </c>
      <c r="O574" s="23">
        <f>+Table24[[#This Row],[FoodcostBlueline]]+Table24[[#This Row],[Pepsico]]</f>
        <v>6511.14</v>
      </c>
      <c r="P574" s="24">
        <f t="shared" si="24"/>
        <v>0.3964948924444715</v>
      </c>
      <c r="Q574" s="24"/>
      <c r="R574" s="23">
        <v>4199.04</v>
      </c>
      <c r="S574" s="25">
        <f t="shared" si="25"/>
        <v>0.25569991018009652</v>
      </c>
      <c r="T574" s="36"/>
      <c r="U574" s="36">
        <f>Table24[[#This Row],[WagesPercent]]+Table24[[#This Row],[FoodCostPercent]]</f>
        <v>0.65219480262456808</v>
      </c>
      <c r="V574" s="36"/>
    </row>
    <row r="575" spans="1:22" x14ac:dyDescent="0.25">
      <c r="A575" s="20">
        <v>574</v>
      </c>
      <c r="B575" s="21" t="s">
        <v>109</v>
      </c>
      <c r="C575" s="21" t="s">
        <v>107</v>
      </c>
      <c r="D575" s="6" t="s">
        <v>62</v>
      </c>
      <c r="E575" s="6">
        <v>3804018</v>
      </c>
      <c r="F575" s="6" t="s">
        <v>24</v>
      </c>
      <c r="G575" s="6" t="s">
        <v>20</v>
      </c>
      <c r="H575" s="6" t="s">
        <v>41</v>
      </c>
      <c r="I575" s="37">
        <v>20180.349999999999</v>
      </c>
      <c r="J575" s="23">
        <v>19969.259999999998</v>
      </c>
      <c r="K575" s="23">
        <v>1212</v>
      </c>
      <c r="L575" s="23"/>
      <c r="M575" s="23">
        <v>7565.87</v>
      </c>
      <c r="N575" s="23">
        <v>645.22</v>
      </c>
      <c r="O575" s="23">
        <f>+Table24[[#This Row],[FoodcostBlueline]]+Table24[[#This Row],[Pepsico]]</f>
        <v>8211.09</v>
      </c>
      <c r="P575" s="24">
        <f t="shared" si="24"/>
        <v>0.40688541080803853</v>
      </c>
      <c r="Q575" s="24"/>
      <c r="R575" s="23">
        <v>3865.83</v>
      </c>
      <c r="S575" s="25">
        <f t="shared" si="25"/>
        <v>0.19156407098984904</v>
      </c>
      <c r="T575" s="36"/>
      <c r="U575" s="36">
        <f>Table24[[#This Row],[WagesPercent]]+Table24[[#This Row],[FoodCostPercent]]</f>
        <v>0.59844948179788759</v>
      </c>
      <c r="V575" s="36"/>
    </row>
    <row r="576" spans="1:22" x14ac:dyDescent="0.25">
      <c r="A576" s="20">
        <v>575</v>
      </c>
      <c r="B576" s="21" t="s">
        <v>109</v>
      </c>
      <c r="C576" s="21" t="s">
        <v>107</v>
      </c>
      <c r="D576" s="6" t="s">
        <v>62</v>
      </c>
      <c r="E576" s="6">
        <v>3804019</v>
      </c>
      <c r="F576" s="6" t="s">
        <v>25</v>
      </c>
      <c r="G576" s="6" t="s">
        <v>20</v>
      </c>
      <c r="H576" s="6" t="s">
        <v>41</v>
      </c>
      <c r="I576" s="37">
        <v>14475.94</v>
      </c>
      <c r="J576" s="23">
        <v>13183.56</v>
      </c>
      <c r="K576" s="23">
        <v>873</v>
      </c>
      <c r="L576" s="23"/>
      <c r="M576" s="23">
        <v>4513.25</v>
      </c>
      <c r="N576" s="23">
        <v>423.4</v>
      </c>
      <c r="O576" s="23">
        <f>+Table24[[#This Row],[FoodcostBlueline]]+Table24[[#This Row],[Pepsico]]</f>
        <v>4936.6499999999996</v>
      </c>
      <c r="P576" s="24">
        <f t="shared" si="24"/>
        <v>0.34102448614735897</v>
      </c>
      <c r="Q576" s="24"/>
      <c r="R576" s="23">
        <v>3111.83</v>
      </c>
      <c r="S576" s="25">
        <f t="shared" si="25"/>
        <v>0.21496566026109529</v>
      </c>
      <c r="T576" s="36"/>
      <c r="U576" s="36">
        <f>Table24[[#This Row],[WagesPercent]]+Table24[[#This Row],[FoodCostPercent]]</f>
        <v>0.55599014640845423</v>
      </c>
      <c r="V576" s="36"/>
    </row>
    <row r="577" spans="1:22" x14ac:dyDescent="0.25">
      <c r="A577" s="20">
        <v>576</v>
      </c>
      <c r="B577" s="21" t="s">
        <v>109</v>
      </c>
      <c r="C577" s="21" t="s">
        <v>107</v>
      </c>
      <c r="D577" s="6" t="s">
        <v>62</v>
      </c>
      <c r="E577" s="6">
        <v>3804020</v>
      </c>
      <c r="F577" s="6" t="s">
        <v>26</v>
      </c>
      <c r="G577" s="6" t="s">
        <v>22</v>
      </c>
      <c r="H577" s="6" t="s">
        <v>40</v>
      </c>
      <c r="I577" s="23">
        <v>12100.73</v>
      </c>
      <c r="J577" s="23">
        <v>13065.04</v>
      </c>
      <c r="K577" s="23">
        <v>740</v>
      </c>
      <c r="L577" s="23"/>
      <c r="M577" s="23">
        <v>3744.59</v>
      </c>
      <c r="N577" s="23">
        <v>294.07</v>
      </c>
      <c r="O577" s="23">
        <f>+Table24[[#This Row],[FoodcostBlueline]]+Table24[[#This Row],[Pepsico]]</f>
        <v>4038.6600000000003</v>
      </c>
      <c r="P577" s="24">
        <f t="shared" si="24"/>
        <v>0.33375341818220888</v>
      </c>
      <c r="Q577" s="24"/>
      <c r="R577" s="23">
        <v>4076.91</v>
      </c>
      <c r="S577" s="25">
        <f t="shared" si="25"/>
        <v>0.33691438450407535</v>
      </c>
      <c r="T577" s="36"/>
      <c r="U577" s="36">
        <f>Table24[[#This Row],[WagesPercent]]+Table24[[#This Row],[FoodCostPercent]]</f>
        <v>0.67066780268628423</v>
      </c>
      <c r="V577" s="36"/>
    </row>
    <row r="578" spans="1:22" x14ac:dyDescent="0.25">
      <c r="A578" s="20">
        <v>577</v>
      </c>
      <c r="B578" s="21" t="s">
        <v>109</v>
      </c>
      <c r="C578" s="21" t="s">
        <v>107</v>
      </c>
      <c r="D578" s="6" t="s">
        <v>62</v>
      </c>
      <c r="E578" s="6">
        <v>3804021</v>
      </c>
      <c r="F578" s="6" t="s">
        <v>27</v>
      </c>
      <c r="G578" s="6" t="s">
        <v>22</v>
      </c>
      <c r="H578" s="6" t="s">
        <v>40</v>
      </c>
      <c r="I578" s="23">
        <v>19449.8</v>
      </c>
      <c r="J578" s="23">
        <v>24849.93</v>
      </c>
      <c r="K578" s="23">
        <v>1221</v>
      </c>
      <c r="L578" s="23"/>
      <c r="M578" s="23">
        <v>7475.51</v>
      </c>
      <c r="N578" s="23">
        <v>411.51</v>
      </c>
      <c r="O578" s="23">
        <f>+Table24[[#This Row],[FoodcostBlueline]]+Table24[[#This Row],[Pepsico]]</f>
        <v>7887.02</v>
      </c>
      <c r="P578" s="24">
        <f t="shared" ref="P578:P641" si="26">IFERROR(((M578+N578)/I578),0)</f>
        <v>0.40550648335715539</v>
      </c>
      <c r="Q578" s="24"/>
      <c r="R578" s="23">
        <v>4322.7299999999996</v>
      </c>
      <c r="S578" s="25">
        <f t="shared" ref="S578:S641" si="27">+R578/I578</f>
        <v>0.22225061440220464</v>
      </c>
      <c r="T578" s="36"/>
      <c r="U578" s="36">
        <f>Table24[[#This Row],[WagesPercent]]+Table24[[#This Row],[FoodCostPercent]]</f>
        <v>0.62775709775936006</v>
      </c>
      <c r="V578" s="36"/>
    </row>
    <row r="579" spans="1:22" x14ac:dyDescent="0.25">
      <c r="A579" s="20">
        <v>578</v>
      </c>
      <c r="B579" s="21" t="s">
        <v>109</v>
      </c>
      <c r="C579" s="21" t="s">
        <v>107</v>
      </c>
      <c r="D579" s="6" t="s">
        <v>62</v>
      </c>
      <c r="E579" s="6">
        <v>3804022</v>
      </c>
      <c r="F579" s="6" t="s">
        <v>28</v>
      </c>
      <c r="G579" s="6" t="s">
        <v>22</v>
      </c>
      <c r="H579" s="6" t="s">
        <v>40</v>
      </c>
      <c r="I579" s="23">
        <v>13157.16</v>
      </c>
      <c r="J579" s="23">
        <v>14419.64</v>
      </c>
      <c r="K579" s="23">
        <v>762</v>
      </c>
      <c r="L579" s="23"/>
      <c r="M579" s="23">
        <f>4000.57-12.35</f>
        <v>3988.2200000000003</v>
      </c>
      <c r="N579" s="23">
        <v>371.79</v>
      </c>
      <c r="O579" s="23">
        <f>+Table24[[#This Row],[FoodcostBlueline]]+Table24[[#This Row],[Pepsico]]</f>
        <v>4360.01</v>
      </c>
      <c r="P579" s="24">
        <f t="shared" si="26"/>
        <v>0.33137926421811398</v>
      </c>
      <c r="Q579" s="24"/>
      <c r="R579" s="23">
        <v>3268.96</v>
      </c>
      <c r="S579" s="25">
        <f t="shared" si="27"/>
        <v>0.24845483371791482</v>
      </c>
      <c r="T579" s="36"/>
      <c r="U579" s="36">
        <f>Table24[[#This Row],[WagesPercent]]+Table24[[#This Row],[FoodCostPercent]]</f>
        <v>0.5798340979360288</v>
      </c>
      <c r="V579" s="36"/>
    </row>
    <row r="580" spans="1:22" x14ac:dyDescent="0.25">
      <c r="A580" s="20">
        <v>579</v>
      </c>
      <c r="B580" s="21" t="s">
        <v>109</v>
      </c>
      <c r="C580" s="21" t="s">
        <v>107</v>
      </c>
      <c r="D580" s="6" t="s">
        <v>62</v>
      </c>
      <c r="E580" s="6">
        <v>3804023</v>
      </c>
      <c r="F580" s="6" t="s">
        <v>29</v>
      </c>
      <c r="G580" s="6" t="s">
        <v>22</v>
      </c>
      <c r="H580" s="6" t="s">
        <v>40</v>
      </c>
      <c r="I580" s="23">
        <v>14882.61</v>
      </c>
      <c r="J580" s="23">
        <v>16552.900000000001</v>
      </c>
      <c r="K580" s="23">
        <v>908</v>
      </c>
      <c r="L580" s="23"/>
      <c r="M580" s="23">
        <v>5418.01</v>
      </c>
      <c r="N580" s="23">
        <v>436.17</v>
      </c>
      <c r="O580" s="23">
        <f>+Table24[[#This Row],[FoodcostBlueline]]+Table24[[#This Row],[Pepsico]]</f>
        <v>5854.18</v>
      </c>
      <c r="P580" s="24">
        <f t="shared" si="26"/>
        <v>0.39335707916823731</v>
      </c>
      <c r="Q580" s="24"/>
      <c r="R580" s="23">
        <v>3518.07</v>
      </c>
      <c r="S580" s="25">
        <f t="shared" si="27"/>
        <v>0.23638797227099279</v>
      </c>
      <c r="T580" s="36"/>
      <c r="U580" s="36">
        <f>Table24[[#This Row],[WagesPercent]]+Table24[[#This Row],[FoodCostPercent]]</f>
        <v>0.6297450514392301</v>
      </c>
      <c r="V580" s="36"/>
    </row>
    <row r="581" spans="1:22" x14ac:dyDescent="0.25">
      <c r="A581" s="20">
        <v>580</v>
      </c>
      <c r="B581" s="21" t="s">
        <v>109</v>
      </c>
      <c r="C581" s="21" t="s">
        <v>107</v>
      </c>
      <c r="D581" s="6" t="s">
        <v>62</v>
      </c>
      <c r="E581" s="6">
        <v>3804024</v>
      </c>
      <c r="F581" s="6" t="s">
        <v>30</v>
      </c>
      <c r="G581" s="6" t="s">
        <v>20</v>
      </c>
      <c r="H581" s="6" t="s">
        <v>41</v>
      </c>
      <c r="I581" s="23">
        <v>9650.61</v>
      </c>
      <c r="J581" s="23">
        <v>11568.07</v>
      </c>
      <c r="K581" s="23">
        <v>624</v>
      </c>
      <c r="L581" s="23"/>
      <c r="M581" s="23">
        <f>3093.98-12.35</f>
        <v>3081.63</v>
      </c>
      <c r="N581" s="23">
        <v>500.22</v>
      </c>
      <c r="O581" s="23">
        <f>+Table24[[#This Row],[FoodcostBlueline]]+Table24[[#This Row],[Pepsico]]</f>
        <v>3581.8500000000004</v>
      </c>
      <c r="P581" s="24">
        <f t="shared" si="26"/>
        <v>0.37115270433682435</v>
      </c>
      <c r="Q581" s="24"/>
      <c r="R581" s="23">
        <f>3359.97+69.23</f>
        <v>3429.2</v>
      </c>
      <c r="S581" s="25">
        <f t="shared" si="27"/>
        <v>0.35533505135944771</v>
      </c>
      <c r="T581" s="36"/>
      <c r="U581" s="36">
        <f>Table24[[#This Row],[WagesPercent]]+Table24[[#This Row],[FoodCostPercent]]</f>
        <v>0.72648775569627211</v>
      </c>
      <c r="V581" s="36"/>
    </row>
    <row r="582" spans="1:22" x14ac:dyDescent="0.25">
      <c r="A582" s="20">
        <v>581</v>
      </c>
      <c r="B582" s="21" t="s">
        <v>109</v>
      </c>
      <c r="C582" s="21" t="s">
        <v>107</v>
      </c>
      <c r="D582" s="6" t="s">
        <v>62</v>
      </c>
      <c r="E582" s="6">
        <v>3804025</v>
      </c>
      <c r="F582" s="6" t="s">
        <v>31</v>
      </c>
      <c r="G582" s="6" t="s">
        <v>20</v>
      </c>
      <c r="H582" s="6" t="s">
        <v>41</v>
      </c>
      <c r="I582" s="23">
        <v>24610.5</v>
      </c>
      <c r="J582" s="23">
        <v>24701.87</v>
      </c>
      <c r="K582" s="23">
        <v>1527</v>
      </c>
      <c r="L582" s="23"/>
      <c r="M582" s="23">
        <v>8405.5300000000007</v>
      </c>
      <c r="N582" s="23">
        <f>1172.04+479.11</f>
        <v>1651.15</v>
      </c>
      <c r="O582" s="23">
        <f>+Table24[[#This Row],[FoodcostBlueline]]+Table24[[#This Row],[Pepsico]]</f>
        <v>10056.68</v>
      </c>
      <c r="P582" s="24">
        <f t="shared" si="26"/>
        <v>0.40863371325247355</v>
      </c>
      <c r="Q582" s="24"/>
      <c r="R582" s="23">
        <v>5224.53</v>
      </c>
      <c r="S582" s="25">
        <f t="shared" si="27"/>
        <v>0.21228865728042909</v>
      </c>
      <c r="T582" s="36"/>
      <c r="U582" s="36">
        <f>Table24[[#This Row],[WagesPercent]]+Table24[[#This Row],[FoodCostPercent]]</f>
        <v>0.62092237053290267</v>
      </c>
      <c r="V582" s="36"/>
    </row>
    <row r="583" spans="1:22" x14ac:dyDescent="0.25">
      <c r="A583" s="20">
        <v>582</v>
      </c>
      <c r="B583" s="21" t="s">
        <v>109</v>
      </c>
      <c r="C583" s="21" t="s">
        <v>107</v>
      </c>
      <c r="D583" s="6" t="s">
        <v>62</v>
      </c>
      <c r="E583" s="6">
        <v>3804026</v>
      </c>
      <c r="F583" s="6" t="s">
        <v>32</v>
      </c>
      <c r="G583" s="6" t="s">
        <v>79</v>
      </c>
      <c r="H583" s="6" t="s">
        <v>41</v>
      </c>
      <c r="I583" s="23">
        <v>13146.49</v>
      </c>
      <c r="J583" s="23">
        <v>13390.79</v>
      </c>
      <c r="K583" s="23">
        <v>793</v>
      </c>
      <c r="L583" s="23"/>
      <c r="M583" s="23">
        <v>3962.31</v>
      </c>
      <c r="N583" s="23">
        <v>291.45</v>
      </c>
      <c r="O583" s="23">
        <f>+Table24[[#This Row],[FoodcostBlueline]]+Table24[[#This Row],[Pepsico]]</f>
        <v>4253.76</v>
      </c>
      <c r="P583" s="24">
        <f t="shared" si="26"/>
        <v>0.32356621425186499</v>
      </c>
      <c r="Q583" s="24"/>
      <c r="R583" s="23">
        <v>3672.27</v>
      </c>
      <c r="S583" s="25">
        <f t="shared" si="27"/>
        <v>0.27933463608917664</v>
      </c>
      <c r="T583" s="36"/>
      <c r="U583" s="36">
        <f>Table24[[#This Row],[WagesPercent]]+Table24[[#This Row],[FoodCostPercent]]</f>
        <v>0.60290085034104157</v>
      </c>
      <c r="V583" s="36"/>
    </row>
    <row r="584" spans="1:22" x14ac:dyDescent="0.25">
      <c r="A584" s="20">
        <v>583</v>
      </c>
      <c r="B584" s="21" t="s">
        <v>109</v>
      </c>
      <c r="C584" s="21" t="s">
        <v>107</v>
      </c>
      <c r="D584" s="6" t="s">
        <v>62</v>
      </c>
      <c r="E584" s="6">
        <v>3804027</v>
      </c>
      <c r="F584" s="6" t="s">
        <v>33</v>
      </c>
      <c r="G584" s="6" t="s">
        <v>43</v>
      </c>
      <c r="H584" s="6" t="s">
        <v>41</v>
      </c>
      <c r="I584" s="23">
        <v>17509.66</v>
      </c>
      <c r="J584" s="23">
        <v>14567.13</v>
      </c>
      <c r="K584" s="23">
        <v>1216</v>
      </c>
      <c r="L584" s="23"/>
      <c r="M584" s="23">
        <v>5039.18</v>
      </c>
      <c r="N584" s="23">
        <v>585.54999999999995</v>
      </c>
      <c r="O584" s="23">
        <f>+Table24[[#This Row],[FoodcostBlueline]]+Table24[[#This Row],[Pepsico]]</f>
        <v>5624.7300000000005</v>
      </c>
      <c r="P584" s="24">
        <f t="shared" si="26"/>
        <v>0.32123582068412526</v>
      </c>
      <c r="Q584" s="24"/>
      <c r="R584" s="23">
        <f>2208.95+377+1600</f>
        <v>4185.95</v>
      </c>
      <c r="S584" s="25">
        <f t="shared" si="27"/>
        <v>0.23906517887840198</v>
      </c>
      <c r="T584" s="36"/>
      <c r="U584" s="36">
        <f>Table24[[#This Row],[WagesPercent]]+Table24[[#This Row],[FoodCostPercent]]</f>
        <v>0.56030099956252721</v>
      </c>
      <c r="V584" s="36"/>
    </row>
    <row r="585" spans="1:22" x14ac:dyDescent="0.25">
      <c r="A585" s="20">
        <v>584</v>
      </c>
      <c r="B585" s="21" t="s">
        <v>109</v>
      </c>
      <c r="C585" s="21" t="s">
        <v>107</v>
      </c>
      <c r="D585" s="6" t="s">
        <v>62</v>
      </c>
      <c r="E585" s="6">
        <v>3804029</v>
      </c>
      <c r="F585" s="6" t="s">
        <v>34</v>
      </c>
      <c r="G585" s="6" t="s">
        <v>79</v>
      </c>
      <c r="H585" s="6" t="s">
        <v>41</v>
      </c>
      <c r="I585" s="23">
        <v>9909.6</v>
      </c>
      <c r="J585" s="23">
        <v>9972.8799999999992</v>
      </c>
      <c r="K585" s="23">
        <v>627</v>
      </c>
      <c r="L585" s="23"/>
      <c r="M585" s="23">
        <f>49.99+2219.02</f>
        <v>2269.0099999999998</v>
      </c>
      <c r="N585" s="23">
        <v>0</v>
      </c>
      <c r="O585" s="23">
        <f>+Table24[[#This Row],[FoodcostBlueline]]+Table24[[#This Row],[Pepsico]]</f>
        <v>2269.0099999999998</v>
      </c>
      <c r="P585" s="24">
        <f t="shared" si="26"/>
        <v>0.22897089690804873</v>
      </c>
      <c r="Q585" s="24"/>
      <c r="R585" s="23">
        <f>1525.65+1763.5</f>
        <v>3289.15</v>
      </c>
      <c r="S585" s="25">
        <f t="shared" si="27"/>
        <v>0.33191551626705418</v>
      </c>
      <c r="T585" s="36"/>
      <c r="U585" s="36">
        <f>Table24[[#This Row],[WagesPercent]]+Table24[[#This Row],[FoodCostPercent]]</f>
        <v>0.5608864131751029</v>
      </c>
      <c r="V585" s="36"/>
    </row>
    <row r="586" spans="1:22" x14ac:dyDescent="0.25">
      <c r="A586" s="20">
        <v>585</v>
      </c>
      <c r="B586" s="21" t="s">
        <v>109</v>
      </c>
      <c r="C586" s="21" t="s">
        <v>107</v>
      </c>
      <c r="D586" s="6" t="s">
        <v>62</v>
      </c>
      <c r="E586" s="6">
        <v>3804030</v>
      </c>
      <c r="F586" s="6" t="s">
        <v>35</v>
      </c>
      <c r="G586" s="6" t="s">
        <v>5</v>
      </c>
      <c r="H586" s="6" t="s">
        <v>40</v>
      </c>
      <c r="I586" s="23">
        <v>9710.69</v>
      </c>
      <c r="J586" s="23">
        <v>8186.01</v>
      </c>
      <c r="K586" s="23">
        <v>557</v>
      </c>
      <c r="L586" s="23"/>
      <c r="M586" s="23">
        <v>2975.51</v>
      </c>
      <c r="N586" s="23">
        <v>283.72000000000003</v>
      </c>
      <c r="O586" s="23">
        <f>+Table24[[#This Row],[FoodcostBlueline]]+Table24[[#This Row],[Pepsico]]</f>
        <v>3259.2300000000005</v>
      </c>
      <c r="P586" s="24">
        <f t="shared" si="26"/>
        <v>0.33563320423162518</v>
      </c>
      <c r="Q586" s="24"/>
      <c r="R586" s="23">
        <v>2418.06</v>
      </c>
      <c r="S586" s="25">
        <f t="shared" si="27"/>
        <v>0.24901011153687327</v>
      </c>
      <c r="T586" s="36"/>
      <c r="U586" s="36">
        <f>Table24[[#This Row],[WagesPercent]]+Table24[[#This Row],[FoodCostPercent]]</f>
        <v>0.58464331576849848</v>
      </c>
      <c r="V586" s="36"/>
    </row>
    <row r="587" spans="1:22" x14ac:dyDescent="0.25">
      <c r="A587" s="20">
        <v>586</v>
      </c>
      <c r="B587" s="21" t="s">
        <v>109</v>
      </c>
      <c r="C587" s="21" t="s">
        <v>107</v>
      </c>
      <c r="D587" s="6" t="s">
        <v>62</v>
      </c>
      <c r="E587" s="6">
        <v>3804031</v>
      </c>
      <c r="F587" s="6" t="s">
        <v>36</v>
      </c>
      <c r="G587" s="6" t="s">
        <v>5</v>
      </c>
      <c r="H587" s="6" t="s">
        <v>40</v>
      </c>
      <c r="I587" s="23">
        <v>10660.94</v>
      </c>
      <c r="J587" s="23">
        <v>7174.94</v>
      </c>
      <c r="K587" s="23">
        <v>649</v>
      </c>
      <c r="L587" s="23"/>
      <c r="M587" s="23">
        <v>3790.49</v>
      </c>
      <c r="N587" s="23">
        <v>448.68</v>
      </c>
      <c r="O587" s="23">
        <f>+Table24[[#This Row],[FoodcostBlueline]]+Table24[[#This Row],[Pepsico]]</f>
        <v>4239.17</v>
      </c>
      <c r="P587" s="24">
        <f t="shared" si="26"/>
        <v>0.39763566814933765</v>
      </c>
      <c r="Q587" s="24"/>
      <c r="R587" s="37">
        <f>2403.08+750</f>
        <v>3153.08</v>
      </c>
      <c r="S587" s="25">
        <f t="shared" si="27"/>
        <v>0.29576003616941843</v>
      </c>
      <c r="T587" s="36"/>
      <c r="U587" s="36">
        <f>Table24[[#This Row],[WagesPercent]]+Table24[[#This Row],[FoodCostPercent]]</f>
        <v>0.69339570431875608</v>
      </c>
      <c r="V587" s="36"/>
    </row>
    <row r="588" spans="1:22" x14ac:dyDescent="0.25">
      <c r="A588" s="20">
        <v>587</v>
      </c>
      <c r="B588" s="21" t="s">
        <v>109</v>
      </c>
      <c r="C588" s="21" t="s">
        <v>107</v>
      </c>
      <c r="D588" s="6" t="s">
        <v>62</v>
      </c>
      <c r="E588" s="6">
        <v>3804032</v>
      </c>
      <c r="F588" s="6" t="s">
        <v>37</v>
      </c>
      <c r="G588" s="6" t="s">
        <v>5</v>
      </c>
      <c r="H588" s="6" t="s">
        <v>40</v>
      </c>
      <c r="I588" s="23">
        <v>10206.299999999999</v>
      </c>
      <c r="J588" s="23">
        <v>5167.04</v>
      </c>
      <c r="K588" s="23">
        <v>587</v>
      </c>
      <c r="L588" s="23"/>
      <c r="M588" s="23">
        <v>3039.07</v>
      </c>
      <c r="N588" s="23">
        <v>340.05</v>
      </c>
      <c r="O588" s="23">
        <f>+Table24[[#This Row],[FoodcostBlueline]]+Table24[[#This Row],[Pepsico]]</f>
        <v>3379.1200000000003</v>
      </c>
      <c r="P588" s="24">
        <f t="shared" si="26"/>
        <v>0.33108178282041489</v>
      </c>
      <c r="Q588" s="24"/>
      <c r="R588" s="23">
        <f>1350+850+200</f>
        <v>2400</v>
      </c>
      <c r="S588" s="25">
        <f t="shared" si="27"/>
        <v>0.23514887863378503</v>
      </c>
      <c r="T588" s="36"/>
      <c r="U588" s="36">
        <f>Table24[[#This Row],[WagesPercent]]+Table24[[#This Row],[FoodCostPercent]]</f>
        <v>0.56623066145419987</v>
      </c>
      <c r="V588" s="36"/>
    </row>
    <row r="589" spans="1:22" x14ac:dyDescent="0.25">
      <c r="A589" s="20">
        <v>588</v>
      </c>
      <c r="B589" s="21" t="s">
        <v>109</v>
      </c>
      <c r="C589" s="21" t="s">
        <v>107</v>
      </c>
      <c r="D589" s="6" t="s">
        <v>62</v>
      </c>
      <c r="E589" s="6">
        <v>3804033</v>
      </c>
      <c r="F589" s="6" t="s">
        <v>38</v>
      </c>
      <c r="G589" s="6" t="s">
        <v>5</v>
      </c>
      <c r="H589" s="6" t="s">
        <v>40</v>
      </c>
      <c r="I589" s="23">
        <v>7253.96</v>
      </c>
      <c r="J589" s="23">
        <v>8270.52</v>
      </c>
      <c r="K589" s="23">
        <v>532</v>
      </c>
      <c r="L589" s="23"/>
      <c r="M589" s="23">
        <v>2243.04</v>
      </c>
      <c r="N589" s="23">
        <v>347.55</v>
      </c>
      <c r="O589" s="23">
        <f>+Table24[[#This Row],[FoodcostBlueline]]+Table24[[#This Row],[Pepsico]]</f>
        <v>2590.59</v>
      </c>
      <c r="P589" s="24">
        <f t="shared" si="26"/>
        <v>0.35712769301181702</v>
      </c>
      <c r="Q589" s="24"/>
      <c r="R589" s="23">
        <f>1350+850+165.58</f>
        <v>2365.58</v>
      </c>
      <c r="S589" s="25">
        <f t="shared" si="27"/>
        <v>0.32610877369050834</v>
      </c>
      <c r="T589" s="36"/>
      <c r="U589" s="36">
        <f>Table24[[#This Row],[WagesPercent]]+Table24[[#This Row],[FoodCostPercent]]</f>
        <v>0.68323646670232541</v>
      </c>
      <c r="V589" s="36"/>
    </row>
    <row r="590" spans="1:22" x14ac:dyDescent="0.25">
      <c r="A590" s="20">
        <v>589</v>
      </c>
      <c r="B590" s="21" t="s">
        <v>109</v>
      </c>
      <c r="C590" s="21" t="s">
        <v>107</v>
      </c>
      <c r="D590" s="6" t="s">
        <v>62</v>
      </c>
      <c r="E590" s="6">
        <v>3804034</v>
      </c>
      <c r="F590" s="6" t="s">
        <v>53</v>
      </c>
      <c r="G590" s="6" t="s">
        <v>79</v>
      </c>
      <c r="H590" s="6" t="s">
        <v>41</v>
      </c>
      <c r="I590" s="23">
        <v>8421.42</v>
      </c>
      <c r="J590" s="23">
        <v>10345.66</v>
      </c>
      <c r="K590" s="23">
        <v>488</v>
      </c>
      <c r="L590" s="23"/>
      <c r="M590" s="23">
        <v>2386.81</v>
      </c>
      <c r="N590" s="23">
        <v>220.75</v>
      </c>
      <c r="O590" s="23">
        <f>+Table24[[#This Row],[FoodcostBlueline]]+Table24[[#This Row],[Pepsico]]</f>
        <v>2607.56</v>
      </c>
      <c r="P590" s="24">
        <f t="shared" si="26"/>
        <v>0.30963424220618374</v>
      </c>
      <c r="Q590" s="24"/>
      <c r="R590" s="23">
        <f>2400+1254.125</f>
        <v>3654.125</v>
      </c>
      <c r="S590" s="25">
        <f t="shared" si="27"/>
        <v>0.43390841449541762</v>
      </c>
      <c r="T590" s="36"/>
      <c r="U590" s="36">
        <f>Table24[[#This Row],[WagesPercent]]+Table24[[#This Row],[FoodCostPercent]]</f>
        <v>0.74354265670160136</v>
      </c>
      <c r="V590" s="36"/>
    </row>
    <row r="591" spans="1:22" x14ac:dyDescent="0.25">
      <c r="A591" s="20">
        <v>590</v>
      </c>
      <c r="B591" s="21" t="s">
        <v>110</v>
      </c>
      <c r="C591" s="21" t="s">
        <v>107</v>
      </c>
      <c r="D591" s="6" t="s">
        <v>63</v>
      </c>
      <c r="E591" s="6">
        <v>3804001</v>
      </c>
      <c r="F591" s="6" t="s">
        <v>4</v>
      </c>
      <c r="G591" s="6" t="s">
        <v>5</v>
      </c>
      <c r="H591" s="6" t="s">
        <v>40</v>
      </c>
      <c r="I591" s="23">
        <v>27045.69</v>
      </c>
      <c r="J591" s="23">
        <v>28073.62</v>
      </c>
      <c r="K591" s="23">
        <v>1775</v>
      </c>
      <c r="L591" s="23"/>
      <c r="M591" s="23">
        <f>7601.27-280</f>
        <v>7321.27</v>
      </c>
      <c r="N591" s="23">
        <v>448.06</v>
      </c>
      <c r="O591" s="23">
        <f>+Table24[[#This Row],[FoodcostBlueline]]+Table24[[#This Row],[Pepsico]]</f>
        <v>7769.3300000000008</v>
      </c>
      <c r="P591" s="24">
        <f t="shared" si="26"/>
        <v>0.28726684362647065</v>
      </c>
      <c r="Q591" s="24"/>
      <c r="R591" s="23">
        <f>5148.73+780+165.58</f>
        <v>6094.3099999999995</v>
      </c>
      <c r="S591" s="25">
        <f t="shared" si="27"/>
        <v>0.22533387020260898</v>
      </c>
      <c r="T591" s="36"/>
      <c r="U591" s="36">
        <f>Table24[[#This Row],[WagesPercent]]+Table24[[#This Row],[FoodCostPercent]]</f>
        <v>0.51260071382907957</v>
      </c>
      <c r="V591" s="36"/>
    </row>
    <row r="592" spans="1:22" x14ac:dyDescent="0.25">
      <c r="A592" s="20">
        <v>591</v>
      </c>
      <c r="B592" s="21" t="s">
        <v>110</v>
      </c>
      <c r="C592" s="21" t="s">
        <v>107</v>
      </c>
      <c r="D592" s="6" t="s">
        <v>63</v>
      </c>
      <c r="E592" s="6">
        <v>3804002</v>
      </c>
      <c r="F592" s="6" t="s">
        <v>6</v>
      </c>
      <c r="G592" s="6" t="s">
        <v>7</v>
      </c>
      <c r="H592" s="6" t="s">
        <v>41</v>
      </c>
      <c r="I592" s="23">
        <v>12482.01</v>
      </c>
      <c r="J592" s="23">
        <v>14231.42</v>
      </c>
      <c r="K592" s="23">
        <v>953</v>
      </c>
      <c r="L592" s="23"/>
      <c r="M592" s="23">
        <f>93.6-140+ 3789.73</f>
        <v>3743.33</v>
      </c>
      <c r="N592" s="23">
        <v>508.04</v>
      </c>
      <c r="O592" s="23">
        <f>+Table24[[#This Row],[FoodcostBlueline]]+Table24[[#This Row],[Pepsico]]</f>
        <v>4251.37</v>
      </c>
      <c r="P592" s="24">
        <f t="shared" si="26"/>
        <v>0.34059979121952311</v>
      </c>
      <c r="Q592" s="24"/>
      <c r="R592" s="23">
        <v>3815.28</v>
      </c>
      <c r="S592" s="25">
        <f t="shared" si="27"/>
        <v>0.305662309195394</v>
      </c>
      <c r="T592" s="36"/>
      <c r="U592" s="36">
        <f>Table24[[#This Row],[WagesPercent]]+Table24[[#This Row],[FoodCostPercent]]</f>
        <v>0.64626210041491716</v>
      </c>
      <c r="V592" s="36"/>
    </row>
    <row r="593" spans="1:22" x14ac:dyDescent="0.25">
      <c r="A593" s="20">
        <v>592</v>
      </c>
      <c r="B593" s="21" t="s">
        <v>110</v>
      </c>
      <c r="C593" s="21" t="s">
        <v>107</v>
      </c>
      <c r="D593" s="6" t="s">
        <v>63</v>
      </c>
      <c r="E593" s="6">
        <v>3804003</v>
      </c>
      <c r="F593" s="6" t="s">
        <v>8</v>
      </c>
      <c r="G593" s="6" t="s">
        <v>7</v>
      </c>
      <c r="H593" s="6" t="s">
        <v>41</v>
      </c>
      <c r="I593" s="23">
        <v>13779.79</v>
      </c>
      <c r="J593" s="23">
        <v>12414.68</v>
      </c>
      <c r="K593" s="23">
        <v>869</v>
      </c>
      <c r="L593" s="23"/>
      <c r="M593" s="23">
        <f>3419.84-120</f>
        <v>3299.84</v>
      </c>
      <c r="N593" s="23">
        <v>332.07</v>
      </c>
      <c r="O593" s="23">
        <f>+Table24[[#This Row],[FoodcostBlueline]]+Table24[[#This Row],[Pepsico]]</f>
        <v>3631.9100000000003</v>
      </c>
      <c r="P593" s="24">
        <f t="shared" si="26"/>
        <v>0.26356787730437109</v>
      </c>
      <c r="Q593" s="24"/>
      <c r="R593" s="23">
        <v>3296.42</v>
      </c>
      <c r="S593" s="25">
        <f t="shared" si="27"/>
        <v>0.23922135242989914</v>
      </c>
      <c r="T593" s="36"/>
      <c r="U593" s="36">
        <f>Table24[[#This Row],[WagesPercent]]+Table24[[#This Row],[FoodCostPercent]]</f>
        <v>0.5027892297342702</v>
      </c>
      <c r="V593" s="36"/>
    </row>
    <row r="594" spans="1:22" x14ac:dyDescent="0.25">
      <c r="A594" s="20">
        <v>593</v>
      </c>
      <c r="B594" s="21" t="s">
        <v>110</v>
      </c>
      <c r="C594" s="21" t="s">
        <v>107</v>
      </c>
      <c r="D594" s="6" t="s">
        <v>63</v>
      </c>
      <c r="E594" s="6">
        <v>3804004</v>
      </c>
      <c r="F594" s="6" t="s">
        <v>9</v>
      </c>
      <c r="G594" s="6" t="s">
        <v>7</v>
      </c>
      <c r="H594" s="6" t="s">
        <v>41</v>
      </c>
      <c r="I594" s="23">
        <v>15445.22</v>
      </c>
      <c r="J594" s="23">
        <v>15899.61</v>
      </c>
      <c r="K594" s="23">
        <v>1061</v>
      </c>
      <c r="L594" s="23"/>
      <c r="M594" s="23">
        <f>4610.04-12.35-145</f>
        <v>4452.6899999999996</v>
      </c>
      <c r="N594" s="23">
        <v>1092.72</v>
      </c>
      <c r="O594" s="23">
        <f>+Table24[[#This Row],[FoodcostBlueline]]+Table24[[#This Row],[Pepsico]]</f>
        <v>5545.41</v>
      </c>
      <c r="P594" s="24">
        <f t="shared" si="26"/>
        <v>0.35903729438622434</v>
      </c>
      <c r="Q594" s="24"/>
      <c r="R594" s="23">
        <v>4073.35</v>
      </c>
      <c r="S594" s="25">
        <f t="shared" si="27"/>
        <v>0.26372884296889265</v>
      </c>
      <c r="T594" s="36"/>
      <c r="U594" s="36">
        <f>Table24[[#This Row],[WagesPercent]]+Table24[[#This Row],[FoodCostPercent]]</f>
        <v>0.62276613735511699</v>
      </c>
      <c r="V594" s="36"/>
    </row>
    <row r="595" spans="1:22" x14ac:dyDescent="0.25">
      <c r="A595" s="20">
        <v>594</v>
      </c>
      <c r="B595" s="21" t="s">
        <v>110</v>
      </c>
      <c r="C595" s="21" t="s">
        <v>107</v>
      </c>
      <c r="D595" s="6" t="s">
        <v>63</v>
      </c>
      <c r="E595" s="6">
        <v>3804005</v>
      </c>
      <c r="F595" s="6" t="s">
        <v>10</v>
      </c>
      <c r="G595" s="6" t="s">
        <v>7</v>
      </c>
      <c r="H595" s="6" t="s">
        <v>41</v>
      </c>
      <c r="I595" s="23">
        <v>9612.4599999999991</v>
      </c>
      <c r="J595" s="23">
        <v>14566.42</v>
      </c>
      <c r="K595" s="23">
        <v>651</v>
      </c>
      <c r="L595" s="23"/>
      <c r="M595" s="23">
        <f>93.6+3559.09-97.5</f>
        <v>3555.19</v>
      </c>
      <c r="N595" s="23">
        <f>928.98+493.22</f>
        <v>1422.2</v>
      </c>
      <c r="O595" s="23">
        <f>+Table24[[#This Row],[FoodcostBlueline]]+Table24[[#This Row],[Pepsico]]</f>
        <v>4977.3900000000003</v>
      </c>
      <c r="P595" s="24">
        <f t="shared" si="26"/>
        <v>0.51780605588995954</v>
      </c>
      <c r="Q595" s="24"/>
      <c r="R595" s="23">
        <v>2145</v>
      </c>
      <c r="S595" s="25">
        <f t="shared" si="27"/>
        <v>0.22314787265694735</v>
      </c>
      <c r="T595" s="36"/>
      <c r="U595" s="36">
        <f>Table24[[#This Row],[WagesPercent]]+Table24[[#This Row],[FoodCostPercent]]</f>
        <v>0.74095392854690689</v>
      </c>
      <c r="V595" s="36"/>
    </row>
    <row r="596" spans="1:22" x14ac:dyDescent="0.25">
      <c r="A596" s="20">
        <v>595</v>
      </c>
      <c r="B596" s="21" t="s">
        <v>110</v>
      </c>
      <c r="C596" s="21" t="s">
        <v>107</v>
      </c>
      <c r="D596" s="6" t="s">
        <v>63</v>
      </c>
      <c r="E596" s="6">
        <v>3804006</v>
      </c>
      <c r="F596" s="6" t="s">
        <v>11</v>
      </c>
      <c r="G596" s="6" t="s">
        <v>7</v>
      </c>
      <c r="H596" s="6" t="s">
        <v>41</v>
      </c>
      <c r="I596" s="23">
        <v>10185.81</v>
      </c>
      <c r="J596" s="23">
        <v>10833.64</v>
      </c>
      <c r="K596" s="23">
        <v>727</v>
      </c>
      <c r="L596" s="23"/>
      <c r="M596" s="23">
        <f>93.6+2238.36-102.5</f>
        <v>2229.46</v>
      </c>
      <c r="N596" s="23">
        <v>1389.29</v>
      </c>
      <c r="O596" s="23">
        <f>+Table24[[#This Row],[FoodcostBlueline]]+Table24[[#This Row],[Pepsico]]</f>
        <v>3618.75</v>
      </c>
      <c r="P596" s="24">
        <f t="shared" si="26"/>
        <v>0.35527366012128642</v>
      </c>
      <c r="Q596" s="24"/>
      <c r="R596" s="23">
        <v>1736.95</v>
      </c>
      <c r="S596" s="25">
        <f t="shared" si="27"/>
        <v>0.17052644806844033</v>
      </c>
      <c r="T596" s="36"/>
      <c r="U596" s="36">
        <f>Table24[[#This Row],[WagesPercent]]+Table24[[#This Row],[FoodCostPercent]]</f>
        <v>0.52580010818972678</v>
      </c>
      <c r="V596" s="36"/>
    </row>
    <row r="597" spans="1:22" x14ac:dyDescent="0.25">
      <c r="A597" s="20">
        <v>596</v>
      </c>
      <c r="B597" s="21" t="s">
        <v>110</v>
      </c>
      <c r="C597" s="21" t="s">
        <v>107</v>
      </c>
      <c r="D597" s="6" t="s">
        <v>63</v>
      </c>
      <c r="E597" s="6">
        <v>3804008</v>
      </c>
      <c r="F597" s="6" t="s">
        <v>12</v>
      </c>
      <c r="G597" s="6" t="s">
        <v>42</v>
      </c>
      <c r="H597" s="6" t="s">
        <v>41</v>
      </c>
      <c r="I597" s="23">
        <v>21375.84</v>
      </c>
      <c r="J597" s="23">
        <v>20726.55</v>
      </c>
      <c r="K597" s="23">
        <v>1355</v>
      </c>
      <c r="L597" s="23"/>
      <c r="M597" s="23">
        <f>5998.74-172.5</f>
        <v>5826.24</v>
      </c>
      <c r="N597" s="23">
        <v>553.04999999999995</v>
      </c>
      <c r="O597" s="23">
        <f>+Table24[[#This Row],[FoodcostBlueline]]+Table24[[#This Row],[Pepsico]]</f>
        <v>6379.29</v>
      </c>
      <c r="P597" s="24">
        <f t="shared" si="26"/>
        <v>0.29843458783374127</v>
      </c>
      <c r="Q597" s="24"/>
      <c r="R597" s="23">
        <v>4924</v>
      </c>
      <c r="S597" s="25">
        <f t="shared" si="27"/>
        <v>0.23035352061018421</v>
      </c>
      <c r="T597" s="36"/>
      <c r="U597" s="36">
        <f>Table24[[#This Row],[WagesPercent]]+Table24[[#This Row],[FoodCostPercent]]</f>
        <v>0.52878810844392543</v>
      </c>
      <c r="V597" s="36"/>
    </row>
    <row r="598" spans="1:22" x14ac:dyDescent="0.25">
      <c r="A598" s="20">
        <v>597</v>
      </c>
      <c r="B598" s="21" t="s">
        <v>110</v>
      </c>
      <c r="C598" s="21" t="s">
        <v>107</v>
      </c>
      <c r="D598" s="6" t="s">
        <v>63</v>
      </c>
      <c r="E598" s="6">
        <v>3804009</v>
      </c>
      <c r="F598" s="6" t="s">
        <v>13</v>
      </c>
      <c r="G598" s="6" t="s">
        <v>42</v>
      </c>
      <c r="H598" s="6" t="s">
        <v>41</v>
      </c>
      <c r="I598" s="23">
        <v>17080.29</v>
      </c>
      <c r="J598" s="23">
        <v>15123.64</v>
      </c>
      <c r="K598" s="23">
        <v>1020</v>
      </c>
      <c r="L598" s="23"/>
      <c r="M598" s="23">
        <f>-23.52+4366.23-192.52</f>
        <v>4150.1899999999987</v>
      </c>
      <c r="N598" s="23">
        <v>0</v>
      </c>
      <c r="O598" s="23">
        <f>+Table24[[#This Row],[FoodcostBlueline]]+Table24[[#This Row],[Pepsico]]</f>
        <v>4150.1899999999987</v>
      </c>
      <c r="P598" s="24">
        <f t="shared" si="26"/>
        <v>0.24298123743800595</v>
      </c>
      <c r="Q598" s="24"/>
      <c r="R598" s="23">
        <f>388.92+3420</f>
        <v>3808.92</v>
      </c>
      <c r="S598" s="25">
        <f t="shared" si="27"/>
        <v>0.22300089752574459</v>
      </c>
      <c r="T598" s="36"/>
      <c r="U598" s="36">
        <f>Table24[[#This Row],[WagesPercent]]+Table24[[#This Row],[FoodCostPercent]]</f>
        <v>0.46598213496375052</v>
      </c>
      <c r="V598" s="36"/>
    </row>
    <row r="599" spans="1:22" x14ac:dyDescent="0.25">
      <c r="A599" s="20">
        <v>598</v>
      </c>
      <c r="B599" s="21" t="s">
        <v>110</v>
      </c>
      <c r="C599" s="21" t="s">
        <v>107</v>
      </c>
      <c r="D599" s="6" t="s">
        <v>63</v>
      </c>
      <c r="E599" s="6">
        <v>3804010</v>
      </c>
      <c r="F599" s="6" t="s">
        <v>14</v>
      </c>
      <c r="G599" s="6" t="s">
        <v>42</v>
      </c>
      <c r="H599" s="6" t="s">
        <v>41</v>
      </c>
      <c r="I599" s="23">
        <v>8453.65</v>
      </c>
      <c r="J599" s="23">
        <v>9168.7800000000007</v>
      </c>
      <c r="K599" s="23">
        <v>482</v>
      </c>
      <c r="L599" s="23"/>
      <c r="M599" s="23">
        <f>2343.89-82.5</f>
        <v>2261.39</v>
      </c>
      <c r="N599" s="23">
        <v>493.42</v>
      </c>
      <c r="O599" s="23">
        <f>+Table24[[#This Row],[FoodcostBlueline]]+Table24[[#This Row],[Pepsico]]</f>
        <v>2754.81</v>
      </c>
      <c r="P599" s="24">
        <f t="shared" si="26"/>
        <v>0.32587225636263628</v>
      </c>
      <c r="Q599" s="24"/>
      <c r="R599" s="23">
        <v>1852</v>
      </c>
      <c r="S599" s="25">
        <f t="shared" si="27"/>
        <v>0.21907696675400568</v>
      </c>
      <c r="T599" s="36"/>
      <c r="U599" s="36">
        <f>Table24[[#This Row],[WagesPercent]]+Table24[[#This Row],[FoodCostPercent]]</f>
        <v>0.54494922311664196</v>
      </c>
      <c r="V599" s="36"/>
    </row>
    <row r="600" spans="1:22" x14ac:dyDescent="0.25">
      <c r="A600" s="20">
        <v>599</v>
      </c>
      <c r="B600" s="21" t="s">
        <v>110</v>
      </c>
      <c r="C600" s="21" t="s">
        <v>107</v>
      </c>
      <c r="D600" s="6" t="s">
        <v>63</v>
      </c>
      <c r="E600" s="6">
        <v>3804011</v>
      </c>
      <c r="F600" s="6" t="s">
        <v>15</v>
      </c>
      <c r="G600" s="6" t="s">
        <v>79</v>
      </c>
      <c r="H600" s="6" t="s">
        <v>41</v>
      </c>
      <c r="I600" s="23">
        <v>26049.1</v>
      </c>
      <c r="J600" s="23">
        <v>21135.68</v>
      </c>
      <c r="K600" s="23">
        <v>1702</v>
      </c>
      <c r="L600" s="23"/>
      <c r="M600" s="23">
        <f>7541.93-137.5</f>
        <v>7404.43</v>
      </c>
      <c r="N600" s="23">
        <v>698.6</v>
      </c>
      <c r="O600" s="23">
        <f>+Table24[[#This Row],[FoodcostBlueline]]+Table24[[#This Row],[Pepsico]]</f>
        <v>8103.0300000000007</v>
      </c>
      <c r="P600" s="24">
        <f t="shared" si="26"/>
        <v>0.31106756087542375</v>
      </c>
      <c r="Q600" s="24"/>
      <c r="R600" s="23">
        <f>3530.21+650</f>
        <v>4180.21</v>
      </c>
      <c r="S600" s="25">
        <f t="shared" si="27"/>
        <v>0.16047425822773148</v>
      </c>
      <c r="T600" s="36"/>
      <c r="U600" s="36">
        <f>Table24[[#This Row],[WagesPercent]]+Table24[[#This Row],[FoodCostPercent]]</f>
        <v>0.47154181910315524</v>
      </c>
      <c r="V600" s="36"/>
    </row>
    <row r="601" spans="1:22" x14ac:dyDescent="0.25">
      <c r="A601" s="20">
        <v>600</v>
      </c>
      <c r="B601" s="21" t="s">
        <v>110</v>
      </c>
      <c r="C601" s="21" t="s">
        <v>107</v>
      </c>
      <c r="D601" s="6" t="s">
        <v>63</v>
      </c>
      <c r="E601" s="6">
        <v>3804013</v>
      </c>
      <c r="F601" s="6" t="s">
        <v>17</v>
      </c>
      <c r="G601" s="6" t="s">
        <v>79</v>
      </c>
      <c r="H601" s="6" t="s">
        <v>41</v>
      </c>
      <c r="I601" s="23">
        <v>8498.0499999999993</v>
      </c>
      <c r="J601" s="23">
        <v>7269.99</v>
      </c>
      <c r="K601" s="23">
        <v>548</v>
      </c>
      <c r="L601" s="23"/>
      <c r="M601" s="23">
        <f>2773.35-122.5</f>
        <v>2650.85</v>
      </c>
      <c r="N601" s="23">
        <v>249.46</v>
      </c>
      <c r="O601" s="23">
        <f>+Table24[[#This Row],[FoodcostBlueline]]+Table24[[#This Row],[Pepsico]]</f>
        <v>2900.31</v>
      </c>
      <c r="P601" s="24">
        <f t="shared" si="26"/>
        <v>0.34129123740152156</v>
      </c>
      <c r="Q601" s="24"/>
      <c r="R601" s="23">
        <v>1931.73</v>
      </c>
      <c r="S601" s="25">
        <f t="shared" si="27"/>
        <v>0.2273145015621231</v>
      </c>
      <c r="T601" s="36"/>
      <c r="U601" s="36">
        <f>Table24[[#This Row],[WagesPercent]]+Table24[[#This Row],[FoodCostPercent]]</f>
        <v>0.56860573896364464</v>
      </c>
      <c r="V601" s="36"/>
    </row>
    <row r="602" spans="1:22" x14ac:dyDescent="0.25">
      <c r="A602" s="20">
        <v>601</v>
      </c>
      <c r="B602" s="21" t="s">
        <v>110</v>
      </c>
      <c r="C602" s="21" t="s">
        <v>107</v>
      </c>
      <c r="D602" s="6" t="s">
        <v>63</v>
      </c>
      <c r="E602" s="6">
        <v>3804014</v>
      </c>
      <c r="F602" s="6" t="s">
        <v>18</v>
      </c>
      <c r="G602" s="6" t="s">
        <v>79</v>
      </c>
      <c r="H602" s="6" t="s">
        <v>41</v>
      </c>
      <c r="I602" s="23">
        <v>8328.69</v>
      </c>
      <c r="J602" s="23">
        <v>7499.88</v>
      </c>
      <c r="K602" s="23">
        <v>520</v>
      </c>
      <c r="L602" s="23"/>
      <c r="M602" s="23">
        <f>2431.94-115-61.2</f>
        <v>2255.7400000000002</v>
      </c>
      <c r="N602" s="23">
        <v>0</v>
      </c>
      <c r="O602" s="23">
        <f>+Table24[[#This Row],[FoodcostBlueline]]+Table24[[#This Row],[Pepsico]]</f>
        <v>2255.7400000000002</v>
      </c>
      <c r="P602" s="24">
        <f t="shared" si="26"/>
        <v>0.2708397118874637</v>
      </c>
      <c r="Q602" s="24"/>
      <c r="R602" s="23">
        <v>1900.54</v>
      </c>
      <c r="S602" s="25">
        <f t="shared" si="27"/>
        <v>0.22819194855373412</v>
      </c>
      <c r="T602" s="36"/>
      <c r="U602" s="36">
        <f>Table24[[#This Row],[WagesPercent]]+Table24[[#This Row],[FoodCostPercent]]</f>
        <v>0.49903166044119784</v>
      </c>
      <c r="V602" s="36"/>
    </row>
    <row r="603" spans="1:22" x14ac:dyDescent="0.25">
      <c r="A603" s="20">
        <v>602</v>
      </c>
      <c r="B603" s="21" t="s">
        <v>110</v>
      </c>
      <c r="C603" s="21" t="s">
        <v>107</v>
      </c>
      <c r="D603" s="6" t="s">
        <v>63</v>
      </c>
      <c r="E603" s="6">
        <v>3804015</v>
      </c>
      <c r="F603" s="6" t="s">
        <v>19</v>
      </c>
      <c r="G603" s="6" t="s">
        <v>20</v>
      </c>
      <c r="H603" s="6" t="s">
        <v>41</v>
      </c>
      <c r="I603" s="23">
        <v>14878.44</v>
      </c>
      <c r="J603" s="23">
        <v>17010.07</v>
      </c>
      <c r="K603" s="23">
        <v>935</v>
      </c>
      <c r="L603" s="23"/>
      <c r="M603" s="23">
        <f>3933.09-62.5</f>
        <v>3870.59</v>
      </c>
      <c r="N603" s="23">
        <v>237.7</v>
      </c>
      <c r="O603" s="23">
        <f>+Table24[[#This Row],[FoodcostBlueline]]+Table24[[#This Row],[Pepsico]]</f>
        <v>4108.29</v>
      </c>
      <c r="P603" s="24">
        <f t="shared" si="26"/>
        <v>0.27612370651761875</v>
      </c>
      <c r="Q603" s="24"/>
      <c r="R603" s="23">
        <v>3674.26</v>
      </c>
      <c r="S603" s="25">
        <f t="shared" si="27"/>
        <v>0.24695196539422146</v>
      </c>
      <c r="T603" s="36"/>
      <c r="U603" s="36">
        <f>Table24[[#This Row],[WagesPercent]]+Table24[[#This Row],[FoodCostPercent]]</f>
        <v>0.52307567191184023</v>
      </c>
      <c r="V603" s="36"/>
    </row>
    <row r="604" spans="1:22" x14ac:dyDescent="0.25">
      <c r="A604" s="20">
        <v>603</v>
      </c>
      <c r="B604" s="21" t="s">
        <v>110</v>
      </c>
      <c r="C604" s="21" t="s">
        <v>107</v>
      </c>
      <c r="D604" s="6" t="s">
        <v>63</v>
      </c>
      <c r="E604" s="6">
        <v>3804016</v>
      </c>
      <c r="F604" s="6" t="s">
        <v>21</v>
      </c>
      <c r="G604" s="6" t="s">
        <v>22</v>
      </c>
      <c r="H604" s="6" t="s">
        <v>40</v>
      </c>
      <c r="I604" s="23">
        <v>13643.01</v>
      </c>
      <c r="J604" s="23">
        <v>15210.52</v>
      </c>
      <c r="K604" s="23">
        <v>795</v>
      </c>
      <c r="L604" s="23"/>
      <c r="M604" s="23">
        <f>3615.25-55</f>
        <v>3560.25</v>
      </c>
      <c r="N604" s="23">
        <v>369.94</v>
      </c>
      <c r="O604" s="23">
        <f>+Table24[[#This Row],[FoodcostBlueline]]+Table24[[#This Row],[Pepsico]]</f>
        <v>3930.19</v>
      </c>
      <c r="P604" s="24">
        <f t="shared" si="26"/>
        <v>0.28807352629661637</v>
      </c>
      <c r="Q604" s="24"/>
      <c r="R604" s="23">
        <v>3191.08</v>
      </c>
      <c r="S604" s="25">
        <f t="shared" si="27"/>
        <v>0.23389853118923171</v>
      </c>
      <c r="T604" s="36"/>
      <c r="U604" s="36">
        <f>Table24[[#This Row],[WagesPercent]]+Table24[[#This Row],[FoodCostPercent]]</f>
        <v>0.52197205748584807</v>
      </c>
      <c r="V604" s="36"/>
    </row>
    <row r="605" spans="1:22" x14ac:dyDescent="0.25">
      <c r="A605" s="20">
        <v>604</v>
      </c>
      <c r="B605" s="21" t="s">
        <v>110</v>
      </c>
      <c r="C605" s="21" t="s">
        <v>107</v>
      </c>
      <c r="D605" s="6" t="s">
        <v>63</v>
      </c>
      <c r="E605" s="6">
        <v>3804017</v>
      </c>
      <c r="F605" s="6" t="s">
        <v>23</v>
      </c>
      <c r="G605" s="6" t="s">
        <v>22</v>
      </c>
      <c r="H605" s="6" t="s">
        <v>40</v>
      </c>
      <c r="I605" s="23">
        <v>17048.47</v>
      </c>
      <c r="J605" s="23">
        <v>18513.03</v>
      </c>
      <c r="K605" s="23">
        <v>1114</v>
      </c>
      <c r="L605" s="23"/>
      <c r="M605" s="23">
        <f>5577.07-37.5</f>
        <v>5539.57</v>
      </c>
      <c r="N605" s="23">
        <v>0</v>
      </c>
      <c r="O605" s="23">
        <f>+Table24[[#This Row],[FoodcostBlueline]]+Table24[[#This Row],[Pepsico]]</f>
        <v>5539.57</v>
      </c>
      <c r="P605" s="24">
        <f t="shared" si="26"/>
        <v>0.32493062427302855</v>
      </c>
      <c r="Q605" s="24"/>
      <c r="R605" s="23">
        <v>3738.63</v>
      </c>
      <c r="S605" s="25">
        <f t="shared" si="27"/>
        <v>0.2192941654001796</v>
      </c>
      <c r="T605" s="36"/>
      <c r="U605" s="36">
        <f>Table24[[#This Row],[WagesPercent]]+Table24[[#This Row],[FoodCostPercent]]</f>
        <v>0.5442247896732082</v>
      </c>
      <c r="V605" s="36"/>
    </row>
    <row r="606" spans="1:22" x14ac:dyDescent="0.25">
      <c r="A606" s="20">
        <v>605</v>
      </c>
      <c r="B606" s="21" t="s">
        <v>110</v>
      </c>
      <c r="C606" s="21" t="s">
        <v>107</v>
      </c>
      <c r="D606" s="6" t="s">
        <v>63</v>
      </c>
      <c r="E606" s="6">
        <v>3804018</v>
      </c>
      <c r="F606" s="6" t="s">
        <v>24</v>
      </c>
      <c r="G606" s="6" t="s">
        <v>20</v>
      </c>
      <c r="H606" s="6" t="s">
        <v>41</v>
      </c>
      <c r="I606" s="37">
        <v>20143.38</v>
      </c>
      <c r="J606" s="23">
        <v>20310.740000000002</v>
      </c>
      <c r="K606" s="23">
        <v>1179</v>
      </c>
      <c r="L606" s="23"/>
      <c r="M606" s="23">
        <f>5739.31+30-20</f>
        <v>5749.31</v>
      </c>
      <c r="N606" s="23">
        <v>381.01</v>
      </c>
      <c r="O606" s="23">
        <f>+Table24[[#This Row],[FoodcostBlueline]]+Table24[[#This Row],[Pepsico]]</f>
        <v>6130.3200000000006</v>
      </c>
      <c r="P606" s="24">
        <f t="shared" si="26"/>
        <v>0.30433422792004122</v>
      </c>
      <c r="Q606" s="24"/>
      <c r="R606" s="23">
        <v>3740.59</v>
      </c>
      <c r="S606" s="25">
        <f t="shared" si="27"/>
        <v>0.18569822939347816</v>
      </c>
      <c r="T606" s="36"/>
      <c r="U606" s="36">
        <f>Table24[[#This Row],[WagesPercent]]+Table24[[#This Row],[FoodCostPercent]]</f>
        <v>0.49003245731351941</v>
      </c>
      <c r="V606" s="36"/>
    </row>
    <row r="607" spans="1:22" x14ac:dyDescent="0.25">
      <c r="A607" s="20">
        <v>606</v>
      </c>
      <c r="B607" s="21" t="s">
        <v>110</v>
      </c>
      <c r="C607" s="21" t="s">
        <v>107</v>
      </c>
      <c r="D607" s="6" t="s">
        <v>63</v>
      </c>
      <c r="E607" s="6">
        <v>3804019</v>
      </c>
      <c r="F607" s="6" t="s">
        <v>25</v>
      </c>
      <c r="G607" s="6" t="s">
        <v>20</v>
      </c>
      <c r="H607" s="6" t="s">
        <v>41</v>
      </c>
      <c r="I607" s="37">
        <v>14340.7</v>
      </c>
      <c r="J607" s="23">
        <v>14117.17</v>
      </c>
      <c r="K607" s="23">
        <v>883</v>
      </c>
      <c r="L607" s="23"/>
      <c r="M607" s="23">
        <f>4039.21-15</f>
        <v>4024.21</v>
      </c>
      <c r="N607" s="23">
        <v>0</v>
      </c>
      <c r="O607" s="23">
        <f>+Table24[[#This Row],[FoodcostBlueline]]+Table24[[#This Row],[Pepsico]]</f>
        <v>4024.21</v>
      </c>
      <c r="P607" s="24">
        <f t="shared" si="26"/>
        <v>0.28061461434936924</v>
      </c>
      <c r="Q607" s="24"/>
      <c r="R607" s="23">
        <v>3133.35</v>
      </c>
      <c r="S607" s="25">
        <f t="shared" si="27"/>
        <v>0.21849351844749557</v>
      </c>
      <c r="T607" s="36"/>
      <c r="U607" s="36">
        <f>Table24[[#This Row],[WagesPercent]]+Table24[[#This Row],[FoodCostPercent]]</f>
        <v>0.49910813279686483</v>
      </c>
      <c r="V607" s="36"/>
    </row>
    <row r="608" spans="1:22" x14ac:dyDescent="0.25">
      <c r="A608" s="20">
        <v>607</v>
      </c>
      <c r="B608" s="21" t="s">
        <v>110</v>
      </c>
      <c r="C608" s="21" t="s">
        <v>107</v>
      </c>
      <c r="D608" s="6" t="s">
        <v>63</v>
      </c>
      <c r="E608" s="6">
        <v>3804020</v>
      </c>
      <c r="F608" s="6" t="s">
        <v>26</v>
      </c>
      <c r="G608" s="6" t="s">
        <v>22</v>
      </c>
      <c r="H608" s="6" t="s">
        <v>40</v>
      </c>
      <c r="I608" s="23">
        <v>13956.13</v>
      </c>
      <c r="J608" s="23">
        <v>12469.19</v>
      </c>
      <c r="K608" s="23">
        <v>811</v>
      </c>
      <c r="L608" s="23"/>
      <c r="M608" s="23">
        <f>3295.67-40</f>
        <v>3255.67</v>
      </c>
      <c r="N608" s="23">
        <v>269.95999999999998</v>
      </c>
      <c r="O608" s="23">
        <f>+Table24[[#This Row],[FoodcostBlueline]]+Table24[[#This Row],[Pepsico]]</f>
        <v>3525.63</v>
      </c>
      <c r="P608" s="24">
        <f t="shared" si="26"/>
        <v>0.25262232438362214</v>
      </c>
      <c r="Q608" s="24"/>
      <c r="R608" s="23">
        <v>2684.58</v>
      </c>
      <c r="S608" s="25">
        <f t="shared" si="27"/>
        <v>0.19235848333313033</v>
      </c>
      <c r="T608" s="36"/>
      <c r="U608" s="36">
        <f>Table24[[#This Row],[WagesPercent]]+Table24[[#This Row],[FoodCostPercent]]</f>
        <v>0.44498080771675247</v>
      </c>
      <c r="V608" s="36"/>
    </row>
    <row r="609" spans="1:22" x14ac:dyDescent="0.25">
      <c r="A609" s="20">
        <v>608</v>
      </c>
      <c r="B609" s="21" t="s">
        <v>110</v>
      </c>
      <c r="C609" s="21" t="s">
        <v>107</v>
      </c>
      <c r="D609" s="6" t="s">
        <v>63</v>
      </c>
      <c r="E609" s="6">
        <v>3804021</v>
      </c>
      <c r="F609" s="6" t="s">
        <v>27</v>
      </c>
      <c r="G609" s="6" t="s">
        <v>22</v>
      </c>
      <c r="H609" s="6" t="s">
        <v>40</v>
      </c>
      <c r="I609" s="23">
        <v>21520.240000000002</v>
      </c>
      <c r="J609" s="23">
        <v>26656.1</v>
      </c>
      <c r="K609" s="23">
        <v>1341</v>
      </c>
      <c r="L609" s="23"/>
      <c r="M609" s="23">
        <f>6533.41-12.35-72.5</f>
        <v>6448.5599999999995</v>
      </c>
      <c r="N609" s="23">
        <v>356.04</v>
      </c>
      <c r="O609" s="23">
        <f>+Table24[[#This Row],[FoodcostBlueline]]+Table24[[#This Row],[Pepsico]]</f>
        <v>6804.5999999999995</v>
      </c>
      <c r="P609" s="24">
        <f t="shared" si="26"/>
        <v>0.3161953584160771</v>
      </c>
      <c r="Q609" s="24"/>
      <c r="R609" s="23">
        <v>4436.45</v>
      </c>
      <c r="S609" s="25">
        <f t="shared" si="27"/>
        <v>0.20615244067910021</v>
      </c>
      <c r="T609" s="36"/>
      <c r="U609" s="36">
        <f>Table24[[#This Row],[WagesPercent]]+Table24[[#This Row],[FoodCostPercent]]</f>
        <v>0.52234779909517726</v>
      </c>
      <c r="V609" s="36"/>
    </row>
    <row r="610" spans="1:22" x14ac:dyDescent="0.25">
      <c r="A610" s="20">
        <v>609</v>
      </c>
      <c r="B610" s="21" t="s">
        <v>110</v>
      </c>
      <c r="C610" s="21" t="s">
        <v>107</v>
      </c>
      <c r="D610" s="6" t="s">
        <v>63</v>
      </c>
      <c r="E610" s="6">
        <v>3804022</v>
      </c>
      <c r="F610" s="6" t="s">
        <v>28</v>
      </c>
      <c r="G610" s="6" t="s">
        <v>22</v>
      </c>
      <c r="H610" s="6" t="s">
        <v>40</v>
      </c>
      <c r="I610" s="23">
        <v>12631.39</v>
      </c>
      <c r="J610" s="23">
        <v>15339.23</v>
      </c>
      <c r="K610" s="23">
        <v>767</v>
      </c>
      <c r="L610" s="23"/>
      <c r="M610" s="23">
        <f>3215.23-12.35-15</f>
        <v>3187.88</v>
      </c>
      <c r="N610" s="23">
        <v>337.32</v>
      </c>
      <c r="O610" s="23">
        <f>+Table24[[#This Row],[FoodcostBlueline]]+Table24[[#This Row],[Pepsico]]</f>
        <v>3525.2000000000003</v>
      </c>
      <c r="P610" s="24">
        <f t="shared" si="26"/>
        <v>0.27908250794251466</v>
      </c>
      <c r="Q610" s="24"/>
      <c r="R610" s="23">
        <v>2805.15</v>
      </c>
      <c r="S610" s="25">
        <f t="shared" si="27"/>
        <v>0.22207769691221632</v>
      </c>
      <c r="T610" s="36"/>
      <c r="U610" s="36">
        <f>Table24[[#This Row],[WagesPercent]]+Table24[[#This Row],[FoodCostPercent]]</f>
        <v>0.50116020485473101</v>
      </c>
      <c r="V610" s="36"/>
    </row>
    <row r="611" spans="1:22" x14ac:dyDescent="0.25">
      <c r="A611" s="20">
        <v>610</v>
      </c>
      <c r="B611" s="21" t="s">
        <v>110</v>
      </c>
      <c r="C611" s="21" t="s">
        <v>107</v>
      </c>
      <c r="D611" s="6" t="s">
        <v>63</v>
      </c>
      <c r="E611" s="6">
        <v>3804023</v>
      </c>
      <c r="F611" s="6" t="s">
        <v>29</v>
      </c>
      <c r="G611" s="6" t="s">
        <v>22</v>
      </c>
      <c r="H611" s="6" t="s">
        <v>40</v>
      </c>
      <c r="I611" s="23">
        <v>13881.65</v>
      </c>
      <c r="J611" s="23">
        <v>16622.11</v>
      </c>
      <c r="K611" s="23">
        <v>873</v>
      </c>
      <c r="L611" s="23"/>
      <c r="M611" s="23">
        <f>4573.07-12.35-62.5</f>
        <v>4498.2199999999993</v>
      </c>
      <c r="N611" s="23">
        <v>308.48</v>
      </c>
      <c r="O611" s="23">
        <f>+Table24[[#This Row],[FoodcostBlueline]]+Table24[[#This Row],[Pepsico]]</f>
        <v>4806.6999999999989</v>
      </c>
      <c r="P611" s="24">
        <f t="shared" si="26"/>
        <v>0.34626287220899526</v>
      </c>
      <c r="Q611" s="24"/>
      <c r="R611" s="23">
        <v>3305.7</v>
      </c>
      <c r="S611" s="25">
        <f t="shared" si="27"/>
        <v>0.23813451570958782</v>
      </c>
      <c r="T611" s="36"/>
      <c r="U611" s="36">
        <f>Table24[[#This Row],[WagesPercent]]+Table24[[#This Row],[FoodCostPercent]]</f>
        <v>0.58439738791858309</v>
      </c>
      <c r="V611" s="36"/>
    </row>
    <row r="612" spans="1:22" x14ac:dyDescent="0.25">
      <c r="A612" s="20">
        <v>611</v>
      </c>
      <c r="B612" s="21" t="s">
        <v>110</v>
      </c>
      <c r="C612" s="21" t="s">
        <v>107</v>
      </c>
      <c r="D612" s="6" t="s">
        <v>63</v>
      </c>
      <c r="E612" s="6">
        <v>3804024</v>
      </c>
      <c r="F612" s="6" t="s">
        <v>30</v>
      </c>
      <c r="G612" s="6" t="s">
        <v>20</v>
      </c>
      <c r="H612" s="6" t="s">
        <v>41</v>
      </c>
      <c r="I612" s="23">
        <v>10781.27</v>
      </c>
      <c r="J612" s="23">
        <v>11461.58</v>
      </c>
      <c r="K612" s="23">
        <v>665</v>
      </c>
      <c r="L612" s="23"/>
      <c r="M612" s="23">
        <f>2672.34+59.61-190</f>
        <v>2541.9500000000003</v>
      </c>
      <c r="N612" s="23">
        <v>179.89</v>
      </c>
      <c r="O612" s="23">
        <f>+Table24[[#This Row],[FoodcostBlueline]]+Table24[[#This Row],[Pepsico]]</f>
        <v>2721.84</v>
      </c>
      <c r="P612" s="24">
        <f t="shared" si="26"/>
        <v>0.25246005340743716</v>
      </c>
      <c r="Q612" s="24"/>
      <c r="R612" s="23">
        <f>3357.82+69.23</f>
        <v>3427.05</v>
      </c>
      <c r="S612" s="25">
        <f t="shared" si="27"/>
        <v>0.31787071467461625</v>
      </c>
      <c r="T612" s="36"/>
      <c r="U612" s="36">
        <f>Table24[[#This Row],[WagesPercent]]+Table24[[#This Row],[FoodCostPercent]]</f>
        <v>0.57033076808205341</v>
      </c>
      <c r="V612" s="36"/>
    </row>
    <row r="613" spans="1:22" x14ac:dyDescent="0.25">
      <c r="A613" s="20">
        <v>612</v>
      </c>
      <c r="B613" s="21" t="s">
        <v>110</v>
      </c>
      <c r="C613" s="21" t="s">
        <v>107</v>
      </c>
      <c r="D613" s="6" t="s">
        <v>63</v>
      </c>
      <c r="E613" s="6">
        <v>3804025</v>
      </c>
      <c r="F613" s="6" t="s">
        <v>31</v>
      </c>
      <c r="G613" s="6" t="s">
        <v>20</v>
      </c>
      <c r="H613" s="6" t="s">
        <v>41</v>
      </c>
      <c r="I613" s="23">
        <v>25047.4</v>
      </c>
      <c r="J613" s="23">
        <v>26659.07</v>
      </c>
      <c r="K613" s="23">
        <v>1543</v>
      </c>
      <c r="L613" s="23"/>
      <c r="M613" s="23">
        <f>7001.01-90</f>
        <v>6911.01</v>
      </c>
      <c r="N613" s="23">
        <v>0</v>
      </c>
      <c r="O613" s="23">
        <f>+Table24[[#This Row],[FoodcostBlueline]]+Table24[[#This Row],[Pepsico]]</f>
        <v>6911.01</v>
      </c>
      <c r="P613" s="24">
        <f t="shared" si="26"/>
        <v>0.27591726087338403</v>
      </c>
      <c r="Q613" s="24"/>
      <c r="R613" s="23">
        <v>5796.36</v>
      </c>
      <c r="S613" s="25">
        <f t="shared" si="27"/>
        <v>0.23141563595423076</v>
      </c>
      <c r="T613" s="36"/>
      <c r="U613" s="36">
        <f>Table24[[#This Row],[WagesPercent]]+Table24[[#This Row],[FoodCostPercent]]</f>
        <v>0.50733289682761473</v>
      </c>
      <c r="V613" s="36"/>
    </row>
    <row r="614" spans="1:22" x14ac:dyDescent="0.25">
      <c r="A614" s="20">
        <v>613</v>
      </c>
      <c r="B614" s="21" t="s">
        <v>110</v>
      </c>
      <c r="C614" s="21" t="s">
        <v>107</v>
      </c>
      <c r="D614" s="6" t="s">
        <v>63</v>
      </c>
      <c r="E614" s="6">
        <v>3804026</v>
      </c>
      <c r="F614" s="6" t="s">
        <v>32</v>
      </c>
      <c r="G614" s="6" t="s">
        <v>79</v>
      </c>
      <c r="H614" s="6" t="s">
        <v>41</v>
      </c>
      <c r="I614" s="23">
        <v>12738.84</v>
      </c>
      <c r="J614" s="23">
        <v>12871.89</v>
      </c>
      <c r="K614" s="23">
        <v>718</v>
      </c>
      <c r="L614" s="23"/>
      <c r="M614" s="23">
        <f>3800.1-120</f>
        <v>3680.1</v>
      </c>
      <c r="N614" s="23">
        <v>282</v>
      </c>
      <c r="O614" s="23">
        <f>+Table24[[#This Row],[FoodcostBlueline]]+Table24[[#This Row],[Pepsico]]</f>
        <v>3962.1</v>
      </c>
      <c r="P614" s="24">
        <f t="shared" si="26"/>
        <v>0.31102517968669047</v>
      </c>
      <c r="Q614" s="24"/>
      <c r="R614" s="23">
        <v>3682.01</v>
      </c>
      <c r="S614" s="25">
        <f t="shared" si="27"/>
        <v>0.28903809138037689</v>
      </c>
      <c r="T614" s="36"/>
      <c r="U614" s="36">
        <f>Table24[[#This Row],[WagesPercent]]+Table24[[#This Row],[FoodCostPercent]]</f>
        <v>0.60006327106706736</v>
      </c>
      <c r="V614" s="36"/>
    </row>
    <row r="615" spans="1:22" x14ac:dyDescent="0.25">
      <c r="A615" s="20">
        <v>614</v>
      </c>
      <c r="B615" s="21" t="s">
        <v>110</v>
      </c>
      <c r="C615" s="21" t="s">
        <v>107</v>
      </c>
      <c r="D615" s="6" t="s">
        <v>63</v>
      </c>
      <c r="E615" s="6">
        <v>3804027</v>
      </c>
      <c r="F615" s="6" t="s">
        <v>33</v>
      </c>
      <c r="G615" s="6" t="s">
        <v>43</v>
      </c>
      <c r="H615" s="6" t="s">
        <v>41</v>
      </c>
      <c r="I615" s="23">
        <v>17142.599999999999</v>
      </c>
      <c r="J615" s="23">
        <v>14877.56</v>
      </c>
      <c r="K615" s="23">
        <v>1220</v>
      </c>
      <c r="L615" s="23"/>
      <c r="M615" s="23">
        <f>5196.41-335</f>
        <v>4861.41</v>
      </c>
      <c r="N615" s="23">
        <v>0</v>
      </c>
      <c r="O615" s="23">
        <f>+Table24[[#This Row],[FoodcostBlueline]]+Table24[[#This Row],[Pepsico]]</f>
        <v>4861.41</v>
      </c>
      <c r="P615" s="24">
        <f t="shared" si="26"/>
        <v>0.28358650379755695</v>
      </c>
      <c r="Q615" s="24"/>
      <c r="R615" s="23">
        <f>2330+377+1600</f>
        <v>4307</v>
      </c>
      <c r="S615" s="25">
        <f t="shared" si="27"/>
        <v>0.25124543534819693</v>
      </c>
      <c r="T615" s="36"/>
      <c r="U615" s="36">
        <f>Table24[[#This Row],[WagesPercent]]+Table24[[#This Row],[FoodCostPercent]]</f>
        <v>0.53483193914575389</v>
      </c>
      <c r="V615" s="36"/>
    </row>
    <row r="616" spans="1:22" x14ac:dyDescent="0.25">
      <c r="A616" s="20">
        <v>615</v>
      </c>
      <c r="B616" s="21" t="s">
        <v>110</v>
      </c>
      <c r="C616" s="21" t="s">
        <v>107</v>
      </c>
      <c r="D616" s="6" t="s">
        <v>63</v>
      </c>
      <c r="E616" s="6">
        <v>3804029</v>
      </c>
      <c r="F616" s="6" t="s">
        <v>34</v>
      </c>
      <c r="G616" s="6" t="s">
        <v>79</v>
      </c>
      <c r="H616" s="6" t="s">
        <v>41</v>
      </c>
      <c r="I616" s="23">
        <v>8230.8799999999992</v>
      </c>
      <c r="J616" s="23">
        <v>9543.31</v>
      </c>
      <c r="K616" s="23">
        <v>559</v>
      </c>
      <c r="L616" s="23"/>
      <c r="M616" s="23">
        <v>3116.34</v>
      </c>
      <c r="N616" s="23">
        <v>0</v>
      </c>
      <c r="O616" s="23">
        <f>+Table24[[#This Row],[FoodcostBlueline]]+Table24[[#This Row],[Pepsico]]</f>
        <v>3116.34</v>
      </c>
      <c r="P616" s="24">
        <f t="shared" si="26"/>
        <v>0.37861565227533389</v>
      </c>
      <c r="Q616" s="24"/>
      <c r="R616" s="23">
        <f>1948.95+693</f>
        <v>2641.95</v>
      </c>
      <c r="S616" s="25">
        <f t="shared" si="27"/>
        <v>0.32098025970491612</v>
      </c>
      <c r="T616" s="36"/>
      <c r="U616" s="36">
        <f>Table24[[#This Row],[WagesPercent]]+Table24[[#This Row],[FoodCostPercent]]</f>
        <v>0.69959591198024995</v>
      </c>
      <c r="V616" s="36"/>
    </row>
    <row r="617" spans="1:22" x14ac:dyDescent="0.25">
      <c r="A617" s="20">
        <v>616</v>
      </c>
      <c r="B617" s="21" t="s">
        <v>110</v>
      </c>
      <c r="C617" s="21" t="s">
        <v>107</v>
      </c>
      <c r="D617" s="6" t="s">
        <v>63</v>
      </c>
      <c r="E617" s="6">
        <v>3804030</v>
      </c>
      <c r="F617" s="6" t="s">
        <v>35</v>
      </c>
      <c r="G617" s="6" t="s">
        <v>5</v>
      </c>
      <c r="H617" s="6" t="s">
        <v>40</v>
      </c>
      <c r="I617" s="23">
        <v>10663.31</v>
      </c>
      <c r="J617" s="23">
        <v>8521.07</v>
      </c>
      <c r="K617" s="23">
        <v>602</v>
      </c>
      <c r="L617" s="23"/>
      <c r="M617" s="23">
        <f>2678.64-237.5</f>
        <v>2441.14</v>
      </c>
      <c r="N617" s="23">
        <v>202.33</v>
      </c>
      <c r="O617" s="23">
        <f>+Table24[[#This Row],[FoodcostBlueline]]+Table24[[#This Row],[Pepsico]]</f>
        <v>2643.47</v>
      </c>
      <c r="P617" s="24">
        <f t="shared" si="26"/>
        <v>0.24790332457745295</v>
      </c>
      <c r="Q617" s="24"/>
      <c r="R617" s="23">
        <v>2563.58</v>
      </c>
      <c r="S617" s="25">
        <f t="shared" si="27"/>
        <v>0.24041127942449389</v>
      </c>
      <c r="T617" s="36"/>
      <c r="U617" s="36">
        <f>Table24[[#This Row],[WagesPercent]]+Table24[[#This Row],[FoodCostPercent]]</f>
        <v>0.48831460400194682</v>
      </c>
      <c r="V617" s="36"/>
    </row>
    <row r="618" spans="1:22" x14ac:dyDescent="0.25">
      <c r="A618" s="20">
        <v>617</v>
      </c>
      <c r="B618" s="21" t="s">
        <v>110</v>
      </c>
      <c r="C618" s="21" t="s">
        <v>107</v>
      </c>
      <c r="D618" s="6" t="s">
        <v>63</v>
      </c>
      <c r="E618" s="6">
        <v>3804031</v>
      </c>
      <c r="F618" s="6" t="s">
        <v>36</v>
      </c>
      <c r="G618" s="6" t="s">
        <v>5</v>
      </c>
      <c r="H618" s="6" t="s">
        <v>40</v>
      </c>
      <c r="I618" s="23">
        <v>10470.81</v>
      </c>
      <c r="J618" s="23">
        <v>9226.49</v>
      </c>
      <c r="K618" s="23">
        <v>668</v>
      </c>
      <c r="L618" s="23"/>
      <c r="M618" s="23">
        <f>3313.98+228.77-240-45.17</f>
        <v>3257.58</v>
      </c>
      <c r="N618" s="23">
        <v>185.92</v>
      </c>
      <c r="O618" s="23">
        <f>+Table24[[#This Row],[FoodcostBlueline]]+Table24[[#This Row],[Pepsico]]</f>
        <v>3443.5</v>
      </c>
      <c r="P618" s="24">
        <f t="shared" si="26"/>
        <v>0.3288666301842933</v>
      </c>
      <c r="Q618" s="24"/>
      <c r="R618" s="37">
        <f>2455.63+650</f>
        <v>3105.63</v>
      </c>
      <c r="S618" s="25">
        <f t="shared" si="27"/>
        <v>0.29659883046297281</v>
      </c>
      <c r="T618" s="36"/>
      <c r="U618" s="36">
        <f>Table24[[#This Row],[WagesPercent]]+Table24[[#This Row],[FoodCostPercent]]</f>
        <v>0.62546546064726605</v>
      </c>
      <c r="V618" s="36"/>
    </row>
    <row r="619" spans="1:22" x14ac:dyDescent="0.25">
      <c r="A619" s="20">
        <v>618</v>
      </c>
      <c r="B619" s="21" t="s">
        <v>110</v>
      </c>
      <c r="C619" s="21" t="s">
        <v>107</v>
      </c>
      <c r="D619" s="6" t="s">
        <v>63</v>
      </c>
      <c r="E619" s="6">
        <v>3804032</v>
      </c>
      <c r="F619" s="6" t="s">
        <v>37</v>
      </c>
      <c r="G619" s="6" t="s">
        <v>5</v>
      </c>
      <c r="H619" s="6" t="s">
        <v>40</v>
      </c>
      <c r="I619" s="23">
        <v>10664.33</v>
      </c>
      <c r="J619" s="23">
        <v>7917.37</v>
      </c>
      <c r="K619" s="23">
        <v>636</v>
      </c>
      <c r="L619" s="23"/>
      <c r="M619" s="23">
        <f>2916.25-12.35-230</f>
        <v>2673.9</v>
      </c>
      <c r="N619" s="23">
        <v>0</v>
      </c>
      <c r="O619" s="23">
        <f>+Table24[[#This Row],[FoodcostBlueline]]+Table24[[#This Row],[Pepsico]]</f>
        <v>2673.9</v>
      </c>
      <c r="P619" s="24">
        <f t="shared" si="26"/>
        <v>0.2507330512090305</v>
      </c>
      <c r="Q619" s="24"/>
      <c r="R619" s="23">
        <f>1350+850+200</f>
        <v>2400</v>
      </c>
      <c r="S619" s="25">
        <f t="shared" si="27"/>
        <v>0.22504929986225108</v>
      </c>
      <c r="T619" s="36"/>
      <c r="U619" s="36">
        <f>Table24[[#This Row],[WagesPercent]]+Table24[[#This Row],[FoodCostPercent]]</f>
        <v>0.47578235107128158</v>
      </c>
      <c r="V619" s="36"/>
    </row>
    <row r="620" spans="1:22" x14ac:dyDescent="0.25">
      <c r="A620" s="20">
        <v>619</v>
      </c>
      <c r="B620" s="21" t="s">
        <v>110</v>
      </c>
      <c r="C620" s="21" t="s">
        <v>107</v>
      </c>
      <c r="D620" s="6" t="s">
        <v>63</v>
      </c>
      <c r="E620" s="6">
        <v>3804033</v>
      </c>
      <c r="F620" s="6" t="s">
        <v>38</v>
      </c>
      <c r="G620" s="6" t="s">
        <v>5</v>
      </c>
      <c r="H620" s="6" t="s">
        <v>40</v>
      </c>
      <c r="I620" s="23">
        <v>8303.23</v>
      </c>
      <c r="J620" s="23">
        <v>8571.6299999999992</v>
      </c>
      <c r="K620" s="23">
        <v>600</v>
      </c>
      <c r="L620" s="23"/>
      <c r="M620" s="23">
        <f>2088.4+166.14-165</f>
        <v>2089.54</v>
      </c>
      <c r="N620" s="23">
        <v>245.78</v>
      </c>
      <c r="O620" s="23">
        <f>+Table24[[#This Row],[FoodcostBlueline]]+Table24[[#This Row],[Pepsico]]</f>
        <v>2335.3200000000002</v>
      </c>
      <c r="P620" s="24">
        <f t="shared" si="26"/>
        <v>0.28125440340686703</v>
      </c>
      <c r="Q620" s="24"/>
      <c r="R620" s="23">
        <f>1350+850+165.58</f>
        <v>2365.58</v>
      </c>
      <c r="S620" s="25">
        <f t="shared" si="27"/>
        <v>0.28489876831064537</v>
      </c>
      <c r="T620" s="36"/>
      <c r="U620" s="36">
        <f>Table24[[#This Row],[WagesPercent]]+Table24[[#This Row],[FoodCostPercent]]</f>
        <v>0.56615317171751234</v>
      </c>
      <c r="V620" s="36"/>
    </row>
    <row r="621" spans="1:22" x14ac:dyDescent="0.25">
      <c r="A621" s="20">
        <v>620</v>
      </c>
      <c r="B621" s="21" t="s">
        <v>110</v>
      </c>
      <c r="C621" s="21" t="s">
        <v>107</v>
      </c>
      <c r="D621" s="6" t="s">
        <v>63</v>
      </c>
      <c r="E621" s="6">
        <v>3804034</v>
      </c>
      <c r="F621" s="6" t="s">
        <v>53</v>
      </c>
      <c r="G621" s="6" t="s">
        <v>79</v>
      </c>
      <c r="H621" s="6" t="s">
        <v>41</v>
      </c>
      <c r="I621" s="23">
        <v>8513.6</v>
      </c>
      <c r="J621" s="23">
        <v>11413.7</v>
      </c>
      <c r="K621" s="23">
        <v>487</v>
      </c>
      <c r="L621" s="23"/>
      <c r="M621" s="23">
        <f>2451.2-37.5</f>
        <v>2413.6999999999998</v>
      </c>
      <c r="N621" s="23">
        <v>0</v>
      </c>
      <c r="O621" s="23">
        <f>+Table24[[#This Row],[FoodcostBlueline]]+Table24[[#This Row],[Pepsico]]</f>
        <v>2413.6999999999998</v>
      </c>
      <c r="P621" s="24">
        <f t="shared" si="26"/>
        <v>0.28351108814132681</v>
      </c>
      <c r="Q621" s="24"/>
      <c r="R621" s="23">
        <f>1254.125
+2400</f>
        <v>3654.125</v>
      </c>
      <c r="S621" s="25">
        <f t="shared" si="27"/>
        <v>0.42921032230783684</v>
      </c>
      <c r="T621" s="36"/>
      <c r="U621" s="36">
        <f>Table24[[#This Row],[WagesPercent]]+Table24[[#This Row],[FoodCostPercent]]</f>
        <v>0.71272141044916371</v>
      </c>
      <c r="V621" s="36"/>
    </row>
    <row r="622" spans="1:22" x14ac:dyDescent="0.25">
      <c r="A622" s="20">
        <v>621</v>
      </c>
      <c r="B622" s="21" t="s">
        <v>111</v>
      </c>
      <c r="C622" s="21" t="s">
        <v>112</v>
      </c>
      <c r="D622" s="6" t="s">
        <v>64</v>
      </c>
      <c r="E622" s="6">
        <v>3804001</v>
      </c>
      <c r="F622" s="6" t="s">
        <v>4</v>
      </c>
      <c r="G622" s="6" t="s">
        <v>5</v>
      </c>
      <c r="H622" s="6" t="s">
        <v>40</v>
      </c>
      <c r="I622" s="23">
        <v>29470.69</v>
      </c>
      <c r="J622" s="47">
        <v>28131.65</v>
      </c>
      <c r="K622" s="23">
        <v>1949</v>
      </c>
      <c r="L622" s="23"/>
      <c r="M622" s="23">
        <v>7605</v>
      </c>
      <c r="N622" s="23">
        <v>644.5</v>
      </c>
      <c r="O622" s="23">
        <f>+Table24[[#This Row],[FoodcostBlueline]]+Table24[[#This Row],[Pepsico]]</f>
        <v>8249.5</v>
      </c>
      <c r="P622" s="24">
        <f t="shared" si="26"/>
        <v>0.27992218709504257</v>
      </c>
      <c r="Q622" s="24"/>
      <c r="R622" s="23">
        <f>5477.68+165.58</f>
        <v>5643.26</v>
      </c>
      <c r="S622" s="25">
        <f t="shared" si="27"/>
        <v>0.19148720304818112</v>
      </c>
      <c r="T622" s="36"/>
      <c r="U622" s="36">
        <f>Table24[[#This Row],[WagesPercent]]+Table24[[#This Row],[FoodCostPercent]]</f>
        <v>0.47140939014322369</v>
      </c>
      <c r="V622" s="36"/>
    </row>
    <row r="623" spans="1:22" x14ac:dyDescent="0.25">
      <c r="A623" s="20">
        <v>622</v>
      </c>
      <c r="B623" s="21" t="s">
        <v>111</v>
      </c>
      <c r="C623" s="21" t="s">
        <v>112</v>
      </c>
      <c r="D623" s="6" t="s">
        <v>64</v>
      </c>
      <c r="E623" s="6">
        <v>3804002</v>
      </c>
      <c r="F623" s="6" t="s">
        <v>6</v>
      </c>
      <c r="G623" s="6" t="s">
        <v>7</v>
      </c>
      <c r="H623" s="6" t="s">
        <v>41</v>
      </c>
      <c r="I623" s="23">
        <v>13907.65</v>
      </c>
      <c r="J623" s="47">
        <v>14404.33</v>
      </c>
      <c r="K623" s="23">
        <v>1031</v>
      </c>
      <c r="L623" s="23"/>
      <c r="M623" s="23">
        <v>3886.74</v>
      </c>
      <c r="N623" s="23">
        <v>655.86</v>
      </c>
      <c r="O623" s="23">
        <f>+Table24[[#This Row],[FoodcostBlueline]]+Table24[[#This Row],[Pepsico]]</f>
        <v>4542.5999999999995</v>
      </c>
      <c r="P623" s="24">
        <f t="shared" si="26"/>
        <v>0.32662599360783451</v>
      </c>
      <c r="Q623" s="24"/>
      <c r="R623" s="23">
        <v>3341.29</v>
      </c>
      <c r="S623" s="25">
        <f t="shared" si="27"/>
        <v>0.24024835252540869</v>
      </c>
      <c r="T623" s="36"/>
      <c r="U623" s="36">
        <f>Table24[[#This Row],[WagesPercent]]+Table24[[#This Row],[FoodCostPercent]]</f>
        <v>0.56687434613324317</v>
      </c>
      <c r="V623" s="36"/>
    </row>
    <row r="624" spans="1:22" x14ac:dyDescent="0.25">
      <c r="A624" s="20">
        <v>623</v>
      </c>
      <c r="B624" s="21" t="s">
        <v>111</v>
      </c>
      <c r="C624" s="21" t="s">
        <v>112</v>
      </c>
      <c r="D624" s="6" t="s">
        <v>64</v>
      </c>
      <c r="E624" s="6">
        <v>3804003</v>
      </c>
      <c r="F624" s="6" t="s">
        <v>8</v>
      </c>
      <c r="G624" s="6" t="s">
        <v>7</v>
      </c>
      <c r="H624" s="6" t="s">
        <v>41</v>
      </c>
      <c r="I624" s="23">
        <v>12162.92</v>
      </c>
      <c r="J624" s="47">
        <v>11475.71</v>
      </c>
      <c r="K624" s="23">
        <v>791</v>
      </c>
      <c r="L624" s="23"/>
      <c r="M624" s="23">
        <v>3933.37</v>
      </c>
      <c r="N624" s="23">
        <v>497.9</v>
      </c>
      <c r="O624" s="23">
        <f>+Table24[[#This Row],[FoodcostBlueline]]+Table24[[#This Row],[Pepsico]]</f>
        <v>4431.2699999999995</v>
      </c>
      <c r="P624" s="24">
        <f t="shared" si="26"/>
        <v>0.36432616509851251</v>
      </c>
      <c r="Q624" s="24"/>
      <c r="R624" s="23">
        <v>2886.34</v>
      </c>
      <c r="S624" s="25">
        <f t="shared" si="27"/>
        <v>0.23730650205707182</v>
      </c>
      <c r="T624" s="36"/>
      <c r="U624" s="36">
        <f>Table24[[#This Row],[WagesPercent]]+Table24[[#This Row],[FoodCostPercent]]</f>
        <v>0.60163266715558428</v>
      </c>
      <c r="V624" s="36"/>
    </row>
    <row r="625" spans="1:22" x14ac:dyDescent="0.25">
      <c r="A625" s="20">
        <v>624</v>
      </c>
      <c r="B625" s="21" t="s">
        <v>111</v>
      </c>
      <c r="C625" s="21" t="s">
        <v>112</v>
      </c>
      <c r="D625" s="6" t="s">
        <v>64</v>
      </c>
      <c r="E625" s="6">
        <v>3804004</v>
      </c>
      <c r="F625" s="6" t="s">
        <v>9</v>
      </c>
      <c r="G625" s="6" t="s">
        <v>7</v>
      </c>
      <c r="H625" s="6" t="s">
        <v>41</v>
      </c>
      <c r="I625" s="23">
        <v>17485.07</v>
      </c>
      <c r="J625" s="47">
        <v>16179.92</v>
      </c>
      <c r="K625" s="23">
        <v>1199</v>
      </c>
      <c r="L625" s="23"/>
      <c r="M625" s="23">
        <f>4379.62-12.35</f>
        <v>4367.2699999999995</v>
      </c>
      <c r="N625" s="23">
        <v>616.19000000000005</v>
      </c>
      <c r="O625" s="23">
        <f>+Table24[[#This Row],[FoodcostBlueline]]+Table24[[#This Row],[Pepsico]]</f>
        <v>4983.4599999999991</v>
      </c>
      <c r="P625" s="24">
        <f t="shared" si="26"/>
        <v>0.28501229906428738</v>
      </c>
      <c r="Q625" s="24"/>
      <c r="R625" s="23">
        <v>3804.9</v>
      </c>
      <c r="S625" s="25">
        <f t="shared" si="27"/>
        <v>0.21760850828735603</v>
      </c>
      <c r="T625" s="36"/>
      <c r="U625" s="36">
        <f>Table24[[#This Row],[WagesPercent]]+Table24[[#This Row],[FoodCostPercent]]</f>
        <v>0.50262080735164338</v>
      </c>
      <c r="V625" s="36"/>
    </row>
    <row r="626" spans="1:22" x14ac:dyDescent="0.25">
      <c r="A626" s="20">
        <v>625</v>
      </c>
      <c r="B626" s="21" t="s">
        <v>111</v>
      </c>
      <c r="C626" s="21" t="s">
        <v>112</v>
      </c>
      <c r="D626" s="6" t="s">
        <v>64</v>
      </c>
      <c r="E626" s="6">
        <v>3804005</v>
      </c>
      <c r="F626" s="6" t="s">
        <v>10</v>
      </c>
      <c r="G626" s="6" t="s">
        <v>7</v>
      </c>
      <c r="H626" s="6" t="s">
        <v>41</v>
      </c>
      <c r="I626" s="23">
        <v>14968.56</v>
      </c>
      <c r="J626" s="47">
        <v>13903.85</v>
      </c>
      <c r="K626" s="23">
        <v>1024</v>
      </c>
      <c r="L626" s="23"/>
      <c r="M626" s="23">
        <f>3473.32+63.55+388.95</f>
        <v>3925.82</v>
      </c>
      <c r="N626" s="23">
        <v>0</v>
      </c>
      <c r="O626" s="23">
        <f>+Table24[[#This Row],[FoodcostBlueline]]+Table24[[#This Row],[Pepsico]]</f>
        <v>3925.82</v>
      </c>
      <c r="P626" s="24">
        <f t="shared" si="26"/>
        <v>0.2622710534613884</v>
      </c>
      <c r="Q626" s="24"/>
      <c r="R626" s="23">
        <v>2930.64</v>
      </c>
      <c r="S626" s="25">
        <f t="shared" si="27"/>
        <v>0.19578636822780549</v>
      </c>
      <c r="T626" s="36"/>
      <c r="U626" s="36">
        <f>Table24[[#This Row],[WagesPercent]]+Table24[[#This Row],[FoodCostPercent]]</f>
        <v>0.45805742168919389</v>
      </c>
      <c r="V626" s="36"/>
    </row>
    <row r="627" spans="1:22" x14ac:dyDescent="0.25">
      <c r="A627" s="20">
        <v>626</v>
      </c>
      <c r="B627" s="21" t="s">
        <v>111</v>
      </c>
      <c r="C627" s="21" t="s">
        <v>112</v>
      </c>
      <c r="D627" s="6" t="s">
        <v>64</v>
      </c>
      <c r="E627" s="6">
        <v>3804006</v>
      </c>
      <c r="F627" s="6" t="s">
        <v>11</v>
      </c>
      <c r="G627" s="6" t="s">
        <v>7</v>
      </c>
      <c r="H627" s="6" t="s">
        <v>41</v>
      </c>
      <c r="I627" s="23">
        <v>8940.9500000000007</v>
      </c>
      <c r="J627" s="47">
        <v>10549.5</v>
      </c>
      <c r="K627" s="23">
        <v>665</v>
      </c>
      <c r="L627" s="23"/>
      <c r="M627" s="23">
        <f>-12.35+142.06+63.55+2780.66</f>
        <v>2973.92</v>
      </c>
      <c r="N627" s="23">
        <v>0</v>
      </c>
      <c r="O627" s="23">
        <f>+Table24[[#This Row],[FoodcostBlueline]]+Table24[[#This Row],[Pepsico]]</f>
        <v>2973.92</v>
      </c>
      <c r="P627" s="24">
        <f t="shared" si="26"/>
        <v>0.33261789854545654</v>
      </c>
      <c r="Q627" s="24"/>
      <c r="R627" s="23">
        <v>1657.42</v>
      </c>
      <c r="S627" s="25">
        <f t="shared" si="27"/>
        <v>0.18537403743450079</v>
      </c>
      <c r="T627" s="36"/>
      <c r="U627" s="36">
        <f>Table24[[#This Row],[WagesPercent]]+Table24[[#This Row],[FoodCostPercent]]</f>
        <v>0.5179919359799573</v>
      </c>
      <c r="V627" s="36"/>
    </row>
    <row r="628" spans="1:22" x14ac:dyDescent="0.25">
      <c r="A628" s="20">
        <v>627</v>
      </c>
      <c r="B628" s="21" t="s">
        <v>111</v>
      </c>
      <c r="C628" s="21" t="s">
        <v>112</v>
      </c>
      <c r="D628" s="6" t="s">
        <v>64</v>
      </c>
      <c r="E628" s="6">
        <v>3804008</v>
      </c>
      <c r="F628" s="6" t="s">
        <v>12</v>
      </c>
      <c r="G628" s="6" t="s">
        <v>42</v>
      </c>
      <c r="H628" s="6" t="s">
        <v>41</v>
      </c>
      <c r="I628" s="23">
        <v>23366.06</v>
      </c>
      <c r="J628" s="47">
        <v>23412.240000000002</v>
      </c>
      <c r="K628" s="23">
        <v>1460</v>
      </c>
      <c r="L628" s="23"/>
      <c r="M628" s="23">
        <v>6137.37</v>
      </c>
      <c r="N628" s="23">
        <v>0</v>
      </c>
      <c r="O628" s="23">
        <f>+Table24[[#This Row],[FoodcostBlueline]]+Table24[[#This Row],[Pepsico]]</f>
        <v>6137.37</v>
      </c>
      <c r="P628" s="24">
        <f t="shared" si="26"/>
        <v>0.26266174100383205</v>
      </c>
      <c r="Q628" s="24"/>
      <c r="R628" s="23">
        <v>4633</v>
      </c>
      <c r="S628" s="25">
        <f t="shared" si="27"/>
        <v>0.19827904233747579</v>
      </c>
      <c r="T628" s="36"/>
      <c r="U628" s="36">
        <f>Table24[[#This Row],[WagesPercent]]+Table24[[#This Row],[FoodCostPercent]]</f>
        <v>0.46094078334130784</v>
      </c>
      <c r="V628" s="36"/>
    </row>
    <row r="629" spans="1:22" x14ac:dyDescent="0.25">
      <c r="A629" s="20">
        <v>628</v>
      </c>
      <c r="B629" s="21" t="s">
        <v>111</v>
      </c>
      <c r="C629" s="21" t="s">
        <v>112</v>
      </c>
      <c r="D629" s="6" t="s">
        <v>64</v>
      </c>
      <c r="E629" s="6">
        <v>3804009</v>
      </c>
      <c r="F629" s="6" t="s">
        <v>13</v>
      </c>
      <c r="G629" s="6" t="s">
        <v>42</v>
      </c>
      <c r="H629" s="6" t="s">
        <v>41</v>
      </c>
      <c r="I629" s="23">
        <v>16841.400000000001</v>
      </c>
      <c r="J629" s="47">
        <v>15347.62</v>
      </c>
      <c r="K629" s="23">
        <v>1003</v>
      </c>
      <c r="L629" s="23"/>
      <c r="M629" s="23">
        <v>4840.3599999999997</v>
      </c>
      <c r="N629" s="23">
        <v>448.62</v>
      </c>
      <c r="O629" s="23">
        <f>+Table24[[#This Row],[FoodcostBlueline]]+Table24[[#This Row],[Pepsico]]</f>
        <v>5288.98</v>
      </c>
      <c r="P629" s="24">
        <f t="shared" si="26"/>
        <v>0.31404633819041167</v>
      </c>
      <c r="Q629" s="24"/>
      <c r="R629" s="23">
        <f>423.36+3272</f>
        <v>3695.36</v>
      </c>
      <c r="S629" s="25">
        <f t="shared" si="27"/>
        <v>0.21942118826225848</v>
      </c>
      <c r="T629" s="36"/>
      <c r="U629" s="36">
        <f>Table24[[#This Row],[WagesPercent]]+Table24[[#This Row],[FoodCostPercent]]</f>
        <v>0.53346752645267015</v>
      </c>
      <c r="V629" s="36"/>
    </row>
    <row r="630" spans="1:22" x14ac:dyDescent="0.25">
      <c r="A630" s="20">
        <v>629</v>
      </c>
      <c r="B630" s="21" t="s">
        <v>111</v>
      </c>
      <c r="C630" s="21" t="s">
        <v>112</v>
      </c>
      <c r="D630" s="6" t="s">
        <v>64</v>
      </c>
      <c r="E630" s="6">
        <v>3804010</v>
      </c>
      <c r="F630" s="6" t="s">
        <v>14</v>
      </c>
      <c r="G630" s="6" t="s">
        <v>42</v>
      </c>
      <c r="H630" s="6" t="s">
        <v>41</v>
      </c>
      <c r="I630" s="23">
        <v>9898.7099999999991</v>
      </c>
      <c r="J630" s="47">
        <v>8555.5</v>
      </c>
      <c r="K630" s="23">
        <v>525</v>
      </c>
      <c r="L630" s="23"/>
      <c r="M630" s="23">
        <v>2538.0100000000002</v>
      </c>
      <c r="N630" s="23">
        <v>0</v>
      </c>
      <c r="O630" s="23">
        <f>+Table24[[#This Row],[FoodcostBlueline]]+Table24[[#This Row],[Pepsico]]</f>
        <v>2538.0100000000002</v>
      </c>
      <c r="P630" s="24">
        <f t="shared" si="26"/>
        <v>0.25639805590829517</v>
      </c>
      <c r="Q630" s="24"/>
      <c r="R630" s="23">
        <v>1984</v>
      </c>
      <c r="S630" s="25">
        <f t="shared" si="27"/>
        <v>0.20043015706086956</v>
      </c>
      <c r="T630" s="36"/>
      <c r="U630" s="36">
        <f>Table24[[#This Row],[WagesPercent]]+Table24[[#This Row],[FoodCostPercent]]</f>
        <v>0.45682821296916476</v>
      </c>
      <c r="V630" s="36"/>
    </row>
    <row r="631" spans="1:22" x14ac:dyDescent="0.25">
      <c r="A631" s="20">
        <v>630</v>
      </c>
      <c r="B631" s="21" t="s">
        <v>111</v>
      </c>
      <c r="C631" s="21" t="s">
        <v>112</v>
      </c>
      <c r="D631" s="6" t="s">
        <v>64</v>
      </c>
      <c r="E631" s="6">
        <v>3804011</v>
      </c>
      <c r="F631" s="6" t="s">
        <v>15</v>
      </c>
      <c r="G631" s="6" t="s">
        <v>79</v>
      </c>
      <c r="H631" s="6" t="s">
        <v>41</v>
      </c>
      <c r="I631" s="23">
        <v>31934.54</v>
      </c>
      <c r="J631" s="47">
        <v>23963.65</v>
      </c>
      <c r="K631" s="23">
        <v>1955</v>
      </c>
      <c r="L631" s="23"/>
      <c r="M631" s="23">
        <v>7191.79</v>
      </c>
      <c r="N631" s="23">
        <v>600.6</v>
      </c>
      <c r="O631" s="23">
        <f>+Table24[[#This Row],[FoodcostBlueline]]+Table24[[#This Row],[Pepsico]]</f>
        <v>7792.39</v>
      </c>
      <c r="P631" s="24">
        <f t="shared" si="26"/>
        <v>0.24401134320394158</v>
      </c>
      <c r="Q631" s="24"/>
      <c r="R631" s="23">
        <f>3557.94+650+2026</f>
        <v>6233.9400000000005</v>
      </c>
      <c r="S631" s="25">
        <f t="shared" si="27"/>
        <v>0.19520995135674415</v>
      </c>
      <c r="T631" s="36"/>
      <c r="U631" s="36">
        <f>Table24[[#This Row],[WagesPercent]]+Table24[[#This Row],[FoodCostPercent]]</f>
        <v>0.4392212945606857</v>
      </c>
      <c r="V631" s="36"/>
    </row>
    <row r="632" spans="1:22" x14ac:dyDescent="0.25">
      <c r="A632" s="20">
        <v>631</v>
      </c>
      <c r="B632" s="21" t="s">
        <v>111</v>
      </c>
      <c r="C632" s="21" t="s">
        <v>112</v>
      </c>
      <c r="D632" s="6" t="s">
        <v>64</v>
      </c>
      <c r="E632" s="6">
        <v>3804013</v>
      </c>
      <c r="F632" s="6" t="s">
        <v>17</v>
      </c>
      <c r="G632" s="6" t="s">
        <v>79</v>
      </c>
      <c r="H632" s="6" t="s">
        <v>41</v>
      </c>
      <c r="I632" s="23">
        <v>9798.61</v>
      </c>
      <c r="J632" s="47">
        <v>8199.94</v>
      </c>
      <c r="K632" s="23">
        <v>594</v>
      </c>
      <c r="L632" s="23"/>
      <c r="M632" s="23">
        <v>2212.31</v>
      </c>
      <c r="N632" s="23">
        <v>199.22</v>
      </c>
      <c r="O632" s="23">
        <f>+Table24[[#This Row],[FoodcostBlueline]]+Table24[[#This Row],[Pepsico]]</f>
        <v>2411.5299999999997</v>
      </c>
      <c r="P632" s="24">
        <f t="shared" si="26"/>
        <v>0.24610939714918745</v>
      </c>
      <c r="Q632" s="24"/>
      <c r="R632" s="23">
        <v>2006.24</v>
      </c>
      <c r="S632" s="25">
        <f t="shared" si="27"/>
        <v>0.20474740805073371</v>
      </c>
      <c r="T632" s="36"/>
      <c r="U632" s="36">
        <f>Table24[[#This Row],[WagesPercent]]+Table24[[#This Row],[FoodCostPercent]]</f>
        <v>0.45085680519992116</v>
      </c>
      <c r="V632" s="36"/>
    </row>
    <row r="633" spans="1:22" x14ac:dyDescent="0.25">
      <c r="A633" s="20">
        <v>632</v>
      </c>
      <c r="B633" s="21" t="s">
        <v>111</v>
      </c>
      <c r="C633" s="21" t="s">
        <v>112</v>
      </c>
      <c r="D633" s="6" t="s">
        <v>64</v>
      </c>
      <c r="E633" s="6">
        <v>3804014</v>
      </c>
      <c r="F633" s="6" t="s">
        <v>18</v>
      </c>
      <c r="G633" s="6" t="s">
        <v>79</v>
      </c>
      <c r="H633" s="6" t="s">
        <v>41</v>
      </c>
      <c r="I633" s="23">
        <v>7588.73</v>
      </c>
      <c r="J633" s="47">
        <v>8508.14</v>
      </c>
      <c r="K633" s="23">
        <v>472</v>
      </c>
      <c r="L633" s="23"/>
      <c r="M633" s="23">
        <v>2477.4699999999998</v>
      </c>
      <c r="N633" s="23">
        <v>212.4</v>
      </c>
      <c r="O633" s="23">
        <f>+Table24[[#This Row],[FoodcostBlueline]]+Table24[[#This Row],[Pepsico]]</f>
        <v>2689.87</v>
      </c>
      <c r="P633" s="24">
        <f t="shared" si="26"/>
        <v>0.3544558839226063</v>
      </c>
      <c r="Q633" s="24"/>
      <c r="R633" s="23">
        <f>1626.2+100</f>
        <v>1726.2</v>
      </c>
      <c r="S633" s="25">
        <f t="shared" si="27"/>
        <v>0.22746889136917509</v>
      </c>
      <c r="T633" s="36"/>
      <c r="U633" s="36">
        <f>Table24[[#This Row],[WagesPercent]]+Table24[[#This Row],[FoodCostPercent]]</f>
        <v>0.58192477529178133</v>
      </c>
      <c r="V633" s="36"/>
    </row>
    <row r="634" spans="1:22" x14ac:dyDescent="0.25">
      <c r="A634" s="20">
        <v>633</v>
      </c>
      <c r="B634" s="21" t="s">
        <v>111</v>
      </c>
      <c r="C634" s="21" t="s">
        <v>112</v>
      </c>
      <c r="D634" s="6" t="s">
        <v>64</v>
      </c>
      <c r="E634" s="6">
        <v>3804015</v>
      </c>
      <c r="F634" s="6" t="s">
        <v>19</v>
      </c>
      <c r="G634" s="6" t="s">
        <v>20</v>
      </c>
      <c r="H634" s="6" t="s">
        <v>41</v>
      </c>
      <c r="I634" s="23">
        <v>15524.56</v>
      </c>
      <c r="J634" s="47">
        <v>16908.48</v>
      </c>
      <c r="K634" s="23">
        <v>978</v>
      </c>
      <c r="L634" s="23"/>
      <c r="M634" s="23">
        <f>-12.35+3941.22</f>
        <v>3928.87</v>
      </c>
      <c r="N634" s="23">
        <v>267.08999999999997</v>
      </c>
      <c r="O634" s="23">
        <f>+Table24[[#This Row],[FoodcostBlueline]]+Table24[[#This Row],[Pepsico]]</f>
        <v>4195.96</v>
      </c>
      <c r="P634" s="24">
        <f t="shared" si="26"/>
        <v>0.27027883559984955</v>
      </c>
      <c r="Q634" s="24"/>
      <c r="R634" s="23">
        <v>3460.62</v>
      </c>
      <c r="S634" s="25">
        <f t="shared" si="27"/>
        <v>0.22291259784496309</v>
      </c>
      <c r="T634" s="36"/>
      <c r="U634" s="36">
        <f>Table24[[#This Row],[WagesPercent]]+Table24[[#This Row],[FoodCostPercent]]</f>
        <v>0.49319143344481264</v>
      </c>
      <c r="V634" s="36"/>
    </row>
    <row r="635" spans="1:22" x14ac:dyDescent="0.25">
      <c r="A635" s="20">
        <v>634</v>
      </c>
      <c r="B635" s="21" t="s">
        <v>111</v>
      </c>
      <c r="C635" s="21" t="s">
        <v>112</v>
      </c>
      <c r="D635" s="6" t="s">
        <v>64</v>
      </c>
      <c r="E635" s="6">
        <v>3804016</v>
      </c>
      <c r="F635" s="6" t="s">
        <v>21</v>
      </c>
      <c r="G635" s="6" t="s">
        <v>22</v>
      </c>
      <c r="H635" s="6" t="s">
        <v>40</v>
      </c>
      <c r="I635" s="23">
        <v>13061.11</v>
      </c>
      <c r="J635" s="47">
        <v>15040.42</v>
      </c>
      <c r="K635" s="23">
        <v>770</v>
      </c>
      <c r="L635" s="23"/>
      <c r="M635" s="23">
        <v>3336.68</v>
      </c>
      <c r="N635" s="23">
        <v>0</v>
      </c>
      <c r="O635" s="23">
        <f>+Table24[[#This Row],[FoodcostBlueline]]+Table24[[#This Row],[Pepsico]]</f>
        <v>3336.68</v>
      </c>
      <c r="P635" s="24">
        <f t="shared" si="26"/>
        <v>0.25546680182618475</v>
      </c>
      <c r="Q635" s="24"/>
      <c r="R635" s="23">
        <v>3010.07</v>
      </c>
      <c r="S635" s="25">
        <f t="shared" si="27"/>
        <v>0.23046050450535982</v>
      </c>
      <c r="T635" s="36"/>
      <c r="U635" s="36">
        <f>Table24[[#This Row],[WagesPercent]]+Table24[[#This Row],[FoodCostPercent]]</f>
        <v>0.48592730633154457</v>
      </c>
      <c r="V635" s="36"/>
    </row>
    <row r="636" spans="1:22" x14ac:dyDescent="0.25">
      <c r="A636" s="20">
        <v>635</v>
      </c>
      <c r="B636" s="21" t="s">
        <v>111</v>
      </c>
      <c r="C636" s="21" t="s">
        <v>112</v>
      </c>
      <c r="D636" s="6" t="s">
        <v>64</v>
      </c>
      <c r="E636" s="6">
        <v>3804017</v>
      </c>
      <c r="F636" s="6" t="s">
        <v>23</v>
      </c>
      <c r="G636" s="6" t="s">
        <v>22</v>
      </c>
      <c r="H636" s="6" t="s">
        <v>40</v>
      </c>
      <c r="I636" s="23">
        <v>17646.39</v>
      </c>
      <c r="J636" s="47">
        <v>12992.87</v>
      </c>
      <c r="K636" s="23">
        <v>1147</v>
      </c>
      <c r="L636" s="23"/>
      <c r="M636" s="23">
        <v>4870.6499999999996</v>
      </c>
      <c r="N636" s="23">
        <v>482.96</v>
      </c>
      <c r="O636" s="23">
        <f>+Table24[[#This Row],[FoodcostBlueline]]+Table24[[#This Row],[Pepsico]]</f>
        <v>5353.61</v>
      </c>
      <c r="P636" s="24">
        <f t="shared" si="26"/>
        <v>0.30338273153885864</v>
      </c>
      <c r="Q636" s="24"/>
      <c r="R636" s="23">
        <v>3719.51</v>
      </c>
      <c r="S636" s="25">
        <f t="shared" si="27"/>
        <v>0.21078022190374351</v>
      </c>
      <c r="T636" s="36"/>
      <c r="U636" s="36">
        <f>Table24[[#This Row],[WagesPercent]]+Table24[[#This Row],[FoodCostPercent]]</f>
        <v>0.51416295344260221</v>
      </c>
      <c r="V636" s="36"/>
    </row>
    <row r="637" spans="1:22" x14ac:dyDescent="0.25">
      <c r="A637" s="20">
        <v>636</v>
      </c>
      <c r="B637" s="21" t="s">
        <v>111</v>
      </c>
      <c r="C637" s="21" t="s">
        <v>112</v>
      </c>
      <c r="D637" s="6" t="s">
        <v>64</v>
      </c>
      <c r="E637" s="6">
        <v>3804018</v>
      </c>
      <c r="F637" s="6" t="s">
        <v>24</v>
      </c>
      <c r="G637" s="6" t="s">
        <v>20</v>
      </c>
      <c r="H637" s="6" t="s">
        <v>41</v>
      </c>
      <c r="I637" s="37">
        <v>20891.310000000001</v>
      </c>
      <c r="J637" s="47">
        <v>20431.91</v>
      </c>
      <c r="K637" s="23">
        <v>1210</v>
      </c>
      <c r="L637" s="23"/>
      <c r="M637" s="23">
        <v>5928.85</v>
      </c>
      <c r="N637" s="23">
        <v>345.28</v>
      </c>
      <c r="O637" s="23">
        <f>+Table24[[#This Row],[FoodcostBlueline]]+Table24[[#This Row],[Pepsico]]</f>
        <v>6274.13</v>
      </c>
      <c r="P637" s="24">
        <f t="shared" si="26"/>
        <v>0.30032247858080702</v>
      </c>
      <c r="Q637" s="24"/>
      <c r="R637" s="23">
        <v>4386.28</v>
      </c>
      <c r="S637" s="25">
        <f t="shared" si="27"/>
        <v>0.20995715443406848</v>
      </c>
      <c r="T637" s="36"/>
      <c r="U637" s="36">
        <f>Table24[[#This Row],[WagesPercent]]+Table24[[#This Row],[FoodCostPercent]]</f>
        <v>0.51027963301487556</v>
      </c>
      <c r="V637" s="36"/>
    </row>
    <row r="638" spans="1:22" x14ac:dyDescent="0.25">
      <c r="A638" s="20">
        <v>637</v>
      </c>
      <c r="B638" s="21" t="s">
        <v>111</v>
      </c>
      <c r="C638" s="21" t="s">
        <v>112</v>
      </c>
      <c r="D638" s="6" t="s">
        <v>64</v>
      </c>
      <c r="E638" s="6">
        <v>3804019</v>
      </c>
      <c r="F638" s="6" t="s">
        <v>25</v>
      </c>
      <c r="G638" s="6" t="s">
        <v>20</v>
      </c>
      <c r="H638" s="6" t="s">
        <v>41</v>
      </c>
      <c r="I638" s="23">
        <v>13719.19</v>
      </c>
      <c r="J638" s="47">
        <v>14478.71</v>
      </c>
      <c r="K638" s="23">
        <v>820</v>
      </c>
      <c r="L638" s="23"/>
      <c r="M638" s="23">
        <v>4194.47</v>
      </c>
      <c r="N638" s="23">
        <v>257.82</v>
      </c>
      <c r="O638" s="23">
        <f>+Table24[[#This Row],[FoodcostBlueline]]+Table24[[#This Row],[Pepsico]]</f>
        <v>4452.29</v>
      </c>
      <c r="P638" s="24">
        <f t="shared" si="26"/>
        <v>0.32453009252003945</v>
      </c>
      <c r="Q638" s="24"/>
      <c r="R638" s="23">
        <v>3247.31</v>
      </c>
      <c r="S638" s="25">
        <f t="shared" si="27"/>
        <v>0.23669837650765094</v>
      </c>
      <c r="T638" s="36"/>
      <c r="U638" s="36">
        <f>Table24[[#This Row],[WagesPercent]]+Table24[[#This Row],[FoodCostPercent]]</f>
        <v>0.56122846902769041</v>
      </c>
      <c r="V638" s="36"/>
    </row>
    <row r="639" spans="1:22" x14ac:dyDescent="0.25">
      <c r="A639" s="20">
        <v>638</v>
      </c>
      <c r="B639" s="21" t="s">
        <v>111</v>
      </c>
      <c r="C639" s="21" t="s">
        <v>112</v>
      </c>
      <c r="D639" s="6" t="s">
        <v>64</v>
      </c>
      <c r="E639" s="6">
        <v>3804020</v>
      </c>
      <c r="F639" s="6" t="s">
        <v>26</v>
      </c>
      <c r="G639" s="6" t="s">
        <v>22</v>
      </c>
      <c r="H639" s="6" t="s">
        <v>40</v>
      </c>
      <c r="I639" s="23">
        <v>13448.97</v>
      </c>
      <c r="J639" s="47">
        <v>12373.93</v>
      </c>
      <c r="K639" s="23">
        <v>748</v>
      </c>
      <c r="L639" s="23"/>
      <c r="M639" s="23">
        <f>-12.35+2884.87</f>
        <v>2872.52</v>
      </c>
      <c r="N639" s="23">
        <v>175.41</v>
      </c>
      <c r="O639" s="23">
        <f>+Table24[[#This Row],[FoodcostBlueline]]+Table24[[#This Row],[Pepsico]]</f>
        <v>3047.93</v>
      </c>
      <c r="P639" s="24">
        <f t="shared" si="26"/>
        <v>0.2266292511619849</v>
      </c>
      <c r="Q639" s="24"/>
      <c r="R639" s="23">
        <f>2961.24+45.52</f>
        <v>3006.7599999999998</v>
      </c>
      <c r="S639" s="25">
        <f t="shared" si="27"/>
        <v>0.22356805019269133</v>
      </c>
      <c r="T639" s="36"/>
      <c r="U639" s="36">
        <f>Table24[[#This Row],[WagesPercent]]+Table24[[#This Row],[FoodCostPercent]]</f>
        <v>0.45019730135467623</v>
      </c>
      <c r="V639" s="36"/>
    </row>
    <row r="640" spans="1:22" x14ac:dyDescent="0.25">
      <c r="A640" s="20">
        <v>639</v>
      </c>
      <c r="B640" s="21" t="s">
        <v>111</v>
      </c>
      <c r="C640" s="21" t="s">
        <v>112</v>
      </c>
      <c r="D640" s="6" t="s">
        <v>64</v>
      </c>
      <c r="E640" s="6">
        <v>3804021</v>
      </c>
      <c r="F640" s="6" t="s">
        <v>27</v>
      </c>
      <c r="G640" s="6" t="s">
        <v>22</v>
      </c>
      <c r="H640" s="6" t="s">
        <v>40</v>
      </c>
      <c r="I640" s="23">
        <v>21740.639999999999</v>
      </c>
      <c r="J640" s="47">
        <v>28854.07</v>
      </c>
      <c r="K640" s="23">
        <v>1289</v>
      </c>
      <c r="L640" s="23"/>
      <c r="M640" s="23">
        <f>-12.35+7052.55</f>
        <v>7040.2</v>
      </c>
      <c r="N640" s="23">
        <v>0</v>
      </c>
      <c r="O640" s="23">
        <f>+Table24[[#This Row],[FoodcostBlueline]]+Table24[[#This Row],[Pepsico]]</f>
        <v>7040.2</v>
      </c>
      <c r="P640" s="24">
        <f t="shared" si="26"/>
        <v>0.32382671347301645</v>
      </c>
      <c r="Q640" s="24"/>
      <c r="R640" s="23">
        <v>4547.3999999999996</v>
      </c>
      <c r="S640" s="25">
        <f t="shared" si="27"/>
        <v>0.20916587552160376</v>
      </c>
      <c r="T640" s="36"/>
      <c r="U640" s="36">
        <f>Table24[[#This Row],[WagesPercent]]+Table24[[#This Row],[FoodCostPercent]]</f>
        <v>0.53299258899462021</v>
      </c>
      <c r="V640" s="36"/>
    </row>
    <row r="641" spans="1:22" x14ac:dyDescent="0.25">
      <c r="A641" s="20">
        <v>640</v>
      </c>
      <c r="B641" s="21" t="s">
        <v>111</v>
      </c>
      <c r="C641" s="21" t="s">
        <v>112</v>
      </c>
      <c r="D641" s="6" t="s">
        <v>64</v>
      </c>
      <c r="E641" s="6">
        <v>3804022</v>
      </c>
      <c r="F641" s="6" t="s">
        <v>28</v>
      </c>
      <c r="G641" s="6" t="s">
        <v>22</v>
      </c>
      <c r="H641" s="6" t="s">
        <v>40</v>
      </c>
      <c r="I641" s="23">
        <v>13563.68</v>
      </c>
      <c r="J641" s="47">
        <v>16216.18</v>
      </c>
      <c r="K641" s="23">
        <v>835</v>
      </c>
      <c r="L641" s="23"/>
      <c r="M641" s="23">
        <v>2907.93</v>
      </c>
      <c r="N641" s="23">
        <v>348.16</v>
      </c>
      <c r="O641" s="23">
        <f>+Table24[[#This Row],[FoodcostBlueline]]+Table24[[#This Row],[Pepsico]]</f>
        <v>3256.0899999999997</v>
      </c>
      <c r="P641" s="24">
        <f t="shared" si="26"/>
        <v>0.24005948238236227</v>
      </c>
      <c r="Q641" s="24"/>
      <c r="R641" s="23">
        <v>2664.86</v>
      </c>
      <c r="S641" s="25">
        <f t="shared" si="27"/>
        <v>0.19647027945218407</v>
      </c>
      <c r="T641" s="36"/>
      <c r="U641" s="36">
        <f>Table24[[#This Row],[WagesPercent]]+Table24[[#This Row],[FoodCostPercent]]</f>
        <v>0.43652976183454634</v>
      </c>
      <c r="V641" s="36"/>
    </row>
    <row r="642" spans="1:22" x14ac:dyDescent="0.25">
      <c r="A642" s="20">
        <v>641</v>
      </c>
      <c r="B642" s="21" t="s">
        <v>111</v>
      </c>
      <c r="C642" s="21" t="s">
        <v>112</v>
      </c>
      <c r="D642" s="6" t="s">
        <v>64</v>
      </c>
      <c r="E642" s="6">
        <v>3804023</v>
      </c>
      <c r="F642" s="6" t="s">
        <v>29</v>
      </c>
      <c r="G642" s="6" t="s">
        <v>22</v>
      </c>
      <c r="H642" s="6" t="s">
        <v>40</v>
      </c>
      <c r="I642" s="23">
        <v>15132.07</v>
      </c>
      <c r="J642" s="47">
        <v>18702.95</v>
      </c>
      <c r="K642" s="23">
        <v>864</v>
      </c>
      <c r="L642" s="23"/>
      <c r="M642" s="23">
        <v>4311.1099999999997</v>
      </c>
      <c r="N642" s="23">
        <v>0</v>
      </c>
      <c r="O642" s="23">
        <f>+Table24[[#This Row],[FoodcostBlueline]]+Table24[[#This Row],[Pepsico]]</f>
        <v>4311.1099999999997</v>
      </c>
      <c r="P642" s="24">
        <f t="shared" ref="P642:P705" si="28">IFERROR(((M642+N642)/I642),0)</f>
        <v>0.28489889354199388</v>
      </c>
      <c r="Q642" s="24"/>
      <c r="R642" s="23">
        <v>3492.39</v>
      </c>
      <c r="S642" s="25">
        <f t="shared" ref="S642:S705" si="29">+R642/I642</f>
        <v>0.23079393632199693</v>
      </c>
      <c r="T642" s="36"/>
      <c r="U642" s="36">
        <f>Table24[[#This Row],[WagesPercent]]+Table24[[#This Row],[FoodCostPercent]]</f>
        <v>0.51569282986399079</v>
      </c>
      <c r="V642" s="36"/>
    </row>
    <row r="643" spans="1:22" x14ac:dyDescent="0.25">
      <c r="A643" s="20">
        <v>642</v>
      </c>
      <c r="B643" s="21" t="s">
        <v>111</v>
      </c>
      <c r="C643" s="21" t="s">
        <v>112</v>
      </c>
      <c r="D643" s="6" t="s">
        <v>64</v>
      </c>
      <c r="E643" s="6">
        <v>3804024</v>
      </c>
      <c r="F643" s="6" t="s">
        <v>30</v>
      </c>
      <c r="G643" s="6" t="s">
        <v>20</v>
      </c>
      <c r="H643" s="6" t="s">
        <v>41</v>
      </c>
      <c r="I643" s="23">
        <v>10387.42</v>
      </c>
      <c r="J643" s="47">
        <v>11815.15</v>
      </c>
      <c r="K643" s="23">
        <v>635</v>
      </c>
      <c r="L643" s="23"/>
      <c r="M643" s="23">
        <v>2819.52</v>
      </c>
      <c r="N643" s="23">
        <v>204.8</v>
      </c>
      <c r="O643" s="23">
        <f>+Table24[[#This Row],[FoodcostBlueline]]+Table24[[#This Row],[Pepsico]]</f>
        <v>3024.32</v>
      </c>
      <c r="P643" s="24">
        <f t="shared" si="28"/>
        <v>0.29115218215880362</v>
      </c>
      <c r="Q643" s="24"/>
      <c r="R643" s="23">
        <f>3272.47+69.23</f>
        <v>3341.7</v>
      </c>
      <c r="S643" s="25">
        <f t="shared" si="29"/>
        <v>0.32170644876206023</v>
      </c>
      <c r="T643" s="36"/>
      <c r="U643" s="36">
        <f>Table24[[#This Row],[WagesPercent]]+Table24[[#This Row],[FoodCostPercent]]</f>
        <v>0.6128586309208639</v>
      </c>
      <c r="V643" s="36"/>
    </row>
    <row r="644" spans="1:22" x14ac:dyDescent="0.25">
      <c r="A644" s="20">
        <v>643</v>
      </c>
      <c r="B644" s="21" t="s">
        <v>111</v>
      </c>
      <c r="C644" s="21" t="s">
        <v>112</v>
      </c>
      <c r="D644" s="6" t="s">
        <v>64</v>
      </c>
      <c r="E644" s="6">
        <v>3804025</v>
      </c>
      <c r="F644" s="6" t="s">
        <v>31</v>
      </c>
      <c r="G644" s="6" t="s">
        <v>20</v>
      </c>
      <c r="H644" s="6" t="s">
        <v>41</v>
      </c>
      <c r="I644" s="23">
        <v>25758.33</v>
      </c>
      <c r="J644" s="47">
        <v>27333.1</v>
      </c>
      <c r="K644" s="23">
        <v>1625</v>
      </c>
      <c r="L644" s="23"/>
      <c r="M644" s="23">
        <v>7709.74</v>
      </c>
      <c r="N644" s="23">
        <v>373.8</v>
      </c>
      <c r="O644" s="23">
        <f>+Table24[[#This Row],[FoodcostBlueline]]+Table24[[#This Row],[Pepsico]]</f>
        <v>8083.54</v>
      </c>
      <c r="P644" s="24">
        <f t="shared" si="28"/>
        <v>0.31382236348396808</v>
      </c>
      <c r="Q644" s="24"/>
      <c r="R644" s="23">
        <v>5251.79</v>
      </c>
      <c r="S644" s="25">
        <f t="shared" si="29"/>
        <v>0.20388705323675874</v>
      </c>
      <c r="T644" s="36"/>
      <c r="U644" s="36">
        <f>Table24[[#This Row],[WagesPercent]]+Table24[[#This Row],[FoodCostPercent]]</f>
        <v>0.51770941672072679</v>
      </c>
      <c r="V644" s="36"/>
    </row>
    <row r="645" spans="1:22" x14ac:dyDescent="0.25">
      <c r="A645" s="20">
        <v>644</v>
      </c>
      <c r="B645" s="21" t="s">
        <v>111</v>
      </c>
      <c r="C645" s="21" t="s">
        <v>112</v>
      </c>
      <c r="D645" s="6" t="s">
        <v>64</v>
      </c>
      <c r="E645" s="6">
        <v>3804026</v>
      </c>
      <c r="F645" s="6" t="s">
        <v>32</v>
      </c>
      <c r="G645" s="6" t="s">
        <v>79</v>
      </c>
      <c r="H645" s="6" t="s">
        <v>41</v>
      </c>
      <c r="I645" s="23">
        <v>12758.16</v>
      </c>
      <c r="J645" s="47">
        <v>12981.67</v>
      </c>
      <c r="K645" s="23">
        <v>741</v>
      </c>
      <c r="L645" s="23"/>
      <c r="M645" s="23">
        <v>4224.0600000000004</v>
      </c>
      <c r="N645" s="23">
        <v>370.43</v>
      </c>
      <c r="O645" s="23">
        <f>+Table24[[#This Row],[FoodcostBlueline]]+Table24[[#This Row],[Pepsico]]</f>
        <v>4594.4900000000007</v>
      </c>
      <c r="P645" s="24">
        <f t="shared" si="28"/>
        <v>0.36012167898819269</v>
      </c>
      <c r="Q645" s="24"/>
      <c r="R645" s="23">
        <v>3758.21</v>
      </c>
      <c r="S645" s="25">
        <f t="shared" si="29"/>
        <v>0.29457304188064737</v>
      </c>
      <c r="T645" s="36"/>
      <c r="U645" s="36">
        <f>Table24[[#This Row],[WagesPercent]]+Table24[[#This Row],[FoodCostPercent]]</f>
        <v>0.65469472086884006</v>
      </c>
      <c r="V645" s="36"/>
    </row>
    <row r="646" spans="1:22" x14ac:dyDescent="0.25">
      <c r="A646" s="20">
        <v>645</v>
      </c>
      <c r="B646" s="21" t="s">
        <v>111</v>
      </c>
      <c r="C646" s="21" t="s">
        <v>112</v>
      </c>
      <c r="D646" s="6" t="s">
        <v>64</v>
      </c>
      <c r="E646" s="6">
        <v>3804027</v>
      </c>
      <c r="F646" s="6" t="s">
        <v>33</v>
      </c>
      <c r="G646" s="6" t="s">
        <v>43</v>
      </c>
      <c r="H646" s="6" t="s">
        <v>41</v>
      </c>
      <c r="I646" s="23">
        <v>17818.89</v>
      </c>
      <c r="J646" s="47">
        <v>14782.72</v>
      </c>
      <c r="K646" s="23">
        <v>1209</v>
      </c>
      <c r="L646" s="23"/>
      <c r="M646" s="23">
        <v>4961.28</v>
      </c>
      <c r="N646" s="23">
        <v>271.7</v>
      </c>
      <c r="O646" s="23">
        <f>+Table24[[#This Row],[FoodcostBlueline]]+Table24[[#This Row],[Pepsico]]</f>
        <v>5232.9799999999996</v>
      </c>
      <c r="P646" s="24">
        <f t="shared" si="28"/>
        <v>0.29367598093932895</v>
      </c>
      <c r="Q646" s="24"/>
      <c r="R646" s="23">
        <f>2144+377+1600</f>
        <v>4121</v>
      </c>
      <c r="S646" s="25">
        <f t="shared" si="29"/>
        <v>0.23127142038589385</v>
      </c>
      <c r="T646" s="36"/>
      <c r="U646" s="36">
        <f>Table24[[#This Row],[WagesPercent]]+Table24[[#This Row],[FoodCostPercent]]</f>
        <v>0.52494740132522277</v>
      </c>
      <c r="V646" s="36"/>
    </row>
    <row r="647" spans="1:22" x14ac:dyDescent="0.25">
      <c r="A647" s="20">
        <v>646</v>
      </c>
      <c r="B647" s="21" t="s">
        <v>111</v>
      </c>
      <c r="C647" s="21" t="s">
        <v>112</v>
      </c>
      <c r="D647" s="6" t="s">
        <v>64</v>
      </c>
      <c r="E647" s="6">
        <v>3804029</v>
      </c>
      <c r="F647" s="6" t="s">
        <v>34</v>
      </c>
      <c r="G647" s="6" t="s">
        <v>79</v>
      </c>
      <c r="H647" s="6" t="s">
        <v>41</v>
      </c>
      <c r="I647" s="23">
        <v>8326.5499999999993</v>
      </c>
      <c r="J647" s="47">
        <v>9944.91</v>
      </c>
      <c r="K647" s="23">
        <v>580</v>
      </c>
      <c r="L647" s="23"/>
      <c r="M647" s="23">
        <v>2952.14</v>
      </c>
      <c r="N647" s="23">
        <v>0</v>
      </c>
      <c r="O647" s="23">
        <f>+Table24[[#This Row],[FoodcostBlueline]]+Table24[[#This Row],[Pepsico]]</f>
        <v>2952.14</v>
      </c>
      <c r="P647" s="24">
        <f t="shared" si="28"/>
        <v>0.35454539995556383</v>
      </c>
      <c r="Q647" s="24"/>
      <c r="R647" s="23">
        <f>693+2067.75</f>
        <v>2760.75</v>
      </c>
      <c r="S647" s="25">
        <f t="shared" si="29"/>
        <v>0.33155988975025674</v>
      </c>
      <c r="T647" s="36"/>
      <c r="U647" s="36">
        <f>Table24[[#This Row],[WagesPercent]]+Table24[[#This Row],[FoodCostPercent]]</f>
        <v>0.68610528970582063</v>
      </c>
      <c r="V647" s="36"/>
    </row>
    <row r="648" spans="1:22" x14ac:dyDescent="0.25">
      <c r="A648" s="20">
        <v>647</v>
      </c>
      <c r="B648" s="21" t="s">
        <v>111</v>
      </c>
      <c r="C648" s="21" t="s">
        <v>112</v>
      </c>
      <c r="D648" s="6" t="s">
        <v>64</v>
      </c>
      <c r="E648" s="6">
        <v>3804030</v>
      </c>
      <c r="F648" s="6" t="s">
        <v>35</v>
      </c>
      <c r="G648" s="6" t="s">
        <v>5</v>
      </c>
      <c r="H648" s="6" t="s">
        <v>40</v>
      </c>
      <c r="I648" s="23">
        <v>10151.84</v>
      </c>
      <c r="J648" s="47">
        <v>8792.07</v>
      </c>
      <c r="K648" s="23">
        <v>613</v>
      </c>
      <c r="L648" s="23"/>
      <c r="M648" s="23">
        <v>2736.37</v>
      </c>
      <c r="N648" s="23">
        <v>179.53</v>
      </c>
      <c r="O648" s="23">
        <f>+Table24[[#This Row],[FoodcostBlueline]]+Table24[[#This Row],[Pepsico]]</f>
        <v>2915.9</v>
      </c>
      <c r="P648" s="24">
        <f t="shared" si="28"/>
        <v>0.28722871912874909</v>
      </c>
      <c r="Q648" s="24"/>
      <c r="R648" s="23">
        <v>2765.78</v>
      </c>
      <c r="S648" s="25">
        <f t="shared" si="29"/>
        <v>0.27244125202918884</v>
      </c>
      <c r="T648" s="36"/>
      <c r="U648" s="36">
        <f>Table24[[#This Row],[WagesPercent]]+Table24[[#This Row],[FoodCostPercent]]</f>
        <v>0.55966997115793793</v>
      </c>
      <c r="V648" s="36"/>
    </row>
    <row r="649" spans="1:22" x14ac:dyDescent="0.25">
      <c r="A649" s="20">
        <v>648</v>
      </c>
      <c r="B649" s="21" t="s">
        <v>111</v>
      </c>
      <c r="C649" s="21" t="s">
        <v>112</v>
      </c>
      <c r="D649" s="6" t="s">
        <v>64</v>
      </c>
      <c r="E649" s="6">
        <v>3804031</v>
      </c>
      <c r="F649" s="6" t="s">
        <v>36</v>
      </c>
      <c r="G649" s="6" t="s">
        <v>5</v>
      </c>
      <c r="H649" s="6" t="s">
        <v>40</v>
      </c>
      <c r="I649" s="23">
        <v>11190.03</v>
      </c>
      <c r="J649" s="47">
        <v>9132.23</v>
      </c>
      <c r="K649" s="23">
        <v>734</v>
      </c>
      <c r="L649" s="23"/>
      <c r="M649" s="23">
        <v>3338.37</v>
      </c>
      <c r="N649" s="23">
        <f>175.85-13.24</f>
        <v>162.60999999999999</v>
      </c>
      <c r="O649" s="23">
        <f>+Table24[[#This Row],[FoodcostBlueline]]+Table24[[#This Row],[Pepsico]]</f>
        <v>3500.98</v>
      </c>
      <c r="P649" s="24">
        <f t="shared" si="28"/>
        <v>0.31286600661481695</v>
      </c>
      <c r="Q649" s="24"/>
      <c r="R649" s="37">
        <f>2408.48+650</f>
        <v>3058.48</v>
      </c>
      <c r="S649" s="25">
        <f t="shared" si="29"/>
        <v>0.27332187670631802</v>
      </c>
      <c r="T649" s="36"/>
      <c r="U649" s="36">
        <f>Table24[[#This Row],[WagesPercent]]+Table24[[#This Row],[FoodCostPercent]]</f>
        <v>0.58618788332113492</v>
      </c>
      <c r="V649" s="36"/>
    </row>
    <row r="650" spans="1:22" x14ac:dyDescent="0.25">
      <c r="A650" s="20">
        <v>649</v>
      </c>
      <c r="B650" s="21" t="s">
        <v>111</v>
      </c>
      <c r="C650" s="21" t="s">
        <v>112</v>
      </c>
      <c r="D650" s="6" t="s">
        <v>64</v>
      </c>
      <c r="E650" s="6">
        <v>3804032</v>
      </c>
      <c r="F650" s="6" t="s">
        <v>37</v>
      </c>
      <c r="G650" s="6" t="s">
        <v>5</v>
      </c>
      <c r="H650" s="6" t="s">
        <v>40</v>
      </c>
      <c r="I650" s="23">
        <v>11045.96</v>
      </c>
      <c r="J650" s="47">
        <v>7870.48</v>
      </c>
      <c r="K650" s="23">
        <v>661</v>
      </c>
      <c r="L650" s="23"/>
      <c r="M650" s="23">
        <v>3201.4</v>
      </c>
      <c r="N650" s="23">
        <v>189.09</v>
      </c>
      <c r="O650" s="23">
        <f>+Table24[[#This Row],[FoodcostBlueline]]+Table24[[#This Row],[Pepsico]]</f>
        <v>3390.4900000000002</v>
      </c>
      <c r="P650" s="24">
        <f t="shared" si="28"/>
        <v>0.3069438962299339</v>
      </c>
      <c r="Q650" s="24"/>
      <c r="R650" s="23">
        <f>1350+850+200</f>
        <v>2400</v>
      </c>
      <c r="S650" s="25">
        <f t="shared" si="29"/>
        <v>0.21727400787256157</v>
      </c>
      <c r="T650" s="36"/>
      <c r="U650" s="36">
        <f>Table24[[#This Row],[WagesPercent]]+Table24[[#This Row],[FoodCostPercent]]</f>
        <v>0.52421790410249547</v>
      </c>
      <c r="V650" s="36"/>
    </row>
    <row r="651" spans="1:22" x14ac:dyDescent="0.25">
      <c r="A651" s="20">
        <v>650</v>
      </c>
      <c r="B651" s="21" t="s">
        <v>111</v>
      </c>
      <c r="C651" s="21" t="s">
        <v>112</v>
      </c>
      <c r="D651" s="6" t="s">
        <v>64</v>
      </c>
      <c r="E651" s="6">
        <v>3804033</v>
      </c>
      <c r="F651" s="6" t="s">
        <v>38</v>
      </c>
      <c r="G651" s="6" t="s">
        <v>5</v>
      </c>
      <c r="H651" s="6" t="s">
        <v>40</v>
      </c>
      <c r="I651" s="23">
        <v>8591.4599999999991</v>
      </c>
      <c r="J651" s="47">
        <v>8931.67</v>
      </c>
      <c r="K651" s="23">
        <v>603</v>
      </c>
      <c r="L651" s="23"/>
      <c r="M651" s="23">
        <v>2812.88</v>
      </c>
      <c r="N651" s="23">
        <v>0</v>
      </c>
      <c r="O651" s="23">
        <f>+Table24[[#This Row],[FoodcostBlueline]]+Table24[[#This Row],[Pepsico]]</f>
        <v>2812.88</v>
      </c>
      <c r="P651" s="24">
        <f t="shared" si="28"/>
        <v>0.32740418974190655</v>
      </c>
      <c r="Q651" s="24"/>
      <c r="R651" s="23">
        <f>1350+850+165.58</f>
        <v>2365.58</v>
      </c>
      <c r="S651" s="25">
        <f t="shared" si="29"/>
        <v>0.27534086173944827</v>
      </c>
      <c r="T651" s="36"/>
      <c r="U651" s="36">
        <f>Table24[[#This Row],[WagesPercent]]+Table24[[#This Row],[FoodCostPercent]]</f>
        <v>0.60274505148135482</v>
      </c>
      <c r="V651" s="36"/>
    </row>
    <row r="652" spans="1:22" x14ac:dyDescent="0.25">
      <c r="A652" s="20">
        <v>651</v>
      </c>
      <c r="B652" s="21" t="s">
        <v>111</v>
      </c>
      <c r="C652" s="21" t="s">
        <v>112</v>
      </c>
      <c r="D652" s="6" t="s">
        <v>64</v>
      </c>
      <c r="E652" s="6">
        <v>3804034</v>
      </c>
      <c r="F652" s="6" t="s">
        <v>53</v>
      </c>
      <c r="G652" s="6" t="s">
        <v>79</v>
      </c>
      <c r="H652" s="6" t="s">
        <v>41</v>
      </c>
      <c r="I652" s="23">
        <v>8498.65</v>
      </c>
      <c r="J652" s="47">
        <v>11201.2</v>
      </c>
      <c r="K652" s="23">
        <v>458</v>
      </c>
      <c r="L652" s="23"/>
      <c r="M652" s="23">
        <v>1831.48</v>
      </c>
      <c r="N652" s="23">
        <v>0</v>
      </c>
      <c r="O652" s="23">
        <f>+Table24[[#This Row],[FoodcostBlueline]]+Table24[[#This Row],[Pepsico]]</f>
        <v>1831.48</v>
      </c>
      <c r="P652" s="24">
        <f t="shared" si="28"/>
        <v>0.21550246215575417</v>
      </c>
      <c r="Q652" s="24"/>
      <c r="R652" s="23">
        <v>2400</v>
      </c>
      <c r="S652" s="25">
        <f t="shared" si="29"/>
        <v>0.28239779259058795</v>
      </c>
      <c r="T652" s="36"/>
      <c r="U652" s="36">
        <f>Table24[[#This Row],[WagesPercent]]+Table24[[#This Row],[FoodCostPercent]]</f>
        <v>0.49790025474634214</v>
      </c>
      <c r="V652" s="36"/>
    </row>
    <row r="653" spans="1:22" x14ac:dyDescent="0.25">
      <c r="A653" s="20">
        <v>652</v>
      </c>
      <c r="B653" s="21" t="s">
        <v>113</v>
      </c>
      <c r="C653" s="21" t="s">
        <v>112</v>
      </c>
      <c r="D653" s="6" t="s">
        <v>65</v>
      </c>
      <c r="E653" s="6">
        <v>3804001</v>
      </c>
      <c r="F653" s="6" t="s">
        <v>4</v>
      </c>
      <c r="G653" s="6" t="s">
        <v>5</v>
      </c>
      <c r="H653" s="6" t="s">
        <v>40</v>
      </c>
      <c r="I653" s="23">
        <v>28361.78</v>
      </c>
      <c r="J653" s="23">
        <v>26542.55</v>
      </c>
      <c r="K653" s="23">
        <v>1843</v>
      </c>
      <c r="L653" s="23"/>
      <c r="M653" s="23">
        <f>7778.67-64</f>
        <v>7714.67</v>
      </c>
      <c r="N653" s="23">
        <v>711.38</v>
      </c>
      <c r="O653" s="23">
        <f>+Table24[[#This Row],[FoodcostBlueline]]+Table24[[#This Row],[Pepsico]]</f>
        <v>8426.0499999999993</v>
      </c>
      <c r="P653" s="24">
        <f t="shared" si="28"/>
        <v>0.29709171991320715</v>
      </c>
      <c r="Q653" s="24"/>
      <c r="R653" s="23">
        <f>5430.28+1476+165.58</f>
        <v>7071.86</v>
      </c>
      <c r="S653" s="25">
        <f t="shared" si="29"/>
        <v>0.24934471672793457</v>
      </c>
      <c r="T653" s="36"/>
      <c r="U653" s="36">
        <f>Table24[[#This Row],[WagesPercent]]+Table24[[#This Row],[FoodCostPercent]]</f>
        <v>0.54643643664114172</v>
      </c>
      <c r="V653" s="36"/>
    </row>
    <row r="654" spans="1:22" x14ac:dyDescent="0.25">
      <c r="A654" s="20">
        <v>653</v>
      </c>
      <c r="B654" s="21" t="s">
        <v>113</v>
      </c>
      <c r="C654" s="21" t="s">
        <v>112</v>
      </c>
      <c r="D654" s="6" t="s">
        <v>65</v>
      </c>
      <c r="E654" s="6">
        <v>3804002</v>
      </c>
      <c r="F654" s="6" t="s">
        <v>6</v>
      </c>
      <c r="G654" s="6" t="s">
        <v>7</v>
      </c>
      <c r="H654" s="6" t="s">
        <v>41</v>
      </c>
      <c r="I654" s="23">
        <v>13914.2</v>
      </c>
      <c r="J654" s="23">
        <v>14373.24</v>
      </c>
      <c r="K654" s="23">
        <v>1128</v>
      </c>
      <c r="L654" s="23"/>
      <c r="M654" s="23">
        <f>3550.76-52+110+114</f>
        <v>3722.76</v>
      </c>
      <c r="N654" s="23">
        <v>0</v>
      </c>
      <c r="O654" s="23">
        <f>+Table24[[#This Row],[FoodcostBlueline]]+Table24[[#This Row],[Pepsico]]</f>
        <v>3722.76</v>
      </c>
      <c r="P654" s="24">
        <f t="shared" si="28"/>
        <v>0.26755113481191878</v>
      </c>
      <c r="Q654" s="24"/>
      <c r="R654" s="23">
        <v>3957.25</v>
      </c>
      <c r="S654" s="25">
        <f t="shared" si="29"/>
        <v>0.28440370269221371</v>
      </c>
      <c r="T654" s="36"/>
      <c r="U654" s="36">
        <f>Table24[[#This Row],[WagesPercent]]+Table24[[#This Row],[FoodCostPercent]]</f>
        <v>0.55195483750413254</v>
      </c>
      <c r="V654" s="36"/>
    </row>
    <row r="655" spans="1:22" x14ac:dyDescent="0.25">
      <c r="A655" s="20">
        <v>654</v>
      </c>
      <c r="B655" s="21" t="s">
        <v>113</v>
      </c>
      <c r="C655" s="21" t="s">
        <v>112</v>
      </c>
      <c r="D655" s="6" t="s">
        <v>65</v>
      </c>
      <c r="E655" s="6">
        <v>3804003</v>
      </c>
      <c r="F655" s="6" t="s">
        <v>8</v>
      </c>
      <c r="G655" s="6" t="s">
        <v>7</v>
      </c>
      <c r="H655" s="6" t="s">
        <v>41</v>
      </c>
      <c r="I655" s="23">
        <v>15448.11</v>
      </c>
      <c r="J655" s="23">
        <v>12261.24</v>
      </c>
      <c r="K655" s="23">
        <v>962</v>
      </c>
      <c r="L655" s="23"/>
      <c r="M655" s="23">
        <f>3426.69-28+140</f>
        <v>3538.69</v>
      </c>
      <c r="N655" s="23">
        <v>375.01</v>
      </c>
      <c r="O655" s="23">
        <f>+Table24[[#This Row],[FoodcostBlueline]]+Table24[[#This Row],[Pepsico]]</f>
        <v>3913.7</v>
      </c>
      <c r="P655" s="24">
        <f t="shared" si="28"/>
        <v>0.25334490756474415</v>
      </c>
      <c r="Q655" s="24"/>
      <c r="R655" s="23">
        <v>3393.33</v>
      </c>
      <c r="S655" s="25">
        <f t="shared" si="29"/>
        <v>0.21965988072327294</v>
      </c>
      <c r="T655" s="36"/>
      <c r="U655" s="36">
        <f>Table24[[#This Row],[WagesPercent]]+Table24[[#This Row],[FoodCostPercent]]</f>
        <v>0.47300478828801706</v>
      </c>
      <c r="V655" s="36"/>
    </row>
    <row r="656" spans="1:22" x14ac:dyDescent="0.25">
      <c r="A656" s="20">
        <v>655</v>
      </c>
      <c r="B656" s="21" t="s">
        <v>113</v>
      </c>
      <c r="C656" s="21" t="s">
        <v>112</v>
      </c>
      <c r="D656" s="6" t="s">
        <v>65</v>
      </c>
      <c r="E656" s="6">
        <v>3804004</v>
      </c>
      <c r="F656" s="6" t="s">
        <v>9</v>
      </c>
      <c r="G656" s="6" t="s">
        <v>7</v>
      </c>
      <c r="H656" s="6" t="s">
        <v>41</v>
      </c>
      <c r="I656" s="23">
        <v>16762.46</v>
      </c>
      <c r="J656" s="23">
        <v>17184.28</v>
      </c>
      <c r="K656" s="23">
        <v>1122</v>
      </c>
      <c r="L656" s="23"/>
      <c r="M656" s="23">
        <f>4872.89-56</f>
        <v>4816.8900000000003</v>
      </c>
      <c r="N656" s="23">
        <v>677.21</v>
      </c>
      <c r="O656" s="23">
        <f>+Table24[[#This Row],[FoodcostBlueline]]+Table24[[#This Row],[Pepsico]]</f>
        <v>5494.1</v>
      </c>
      <c r="P656" s="24">
        <f t="shared" si="28"/>
        <v>0.32776215424227712</v>
      </c>
      <c r="Q656" s="24"/>
      <c r="R656" s="23">
        <v>3879.02</v>
      </c>
      <c r="S656" s="25">
        <f t="shared" si="29"/>
        <v>0.23141114132412546</v>
      </c>
      <c r="T656" s="36"/>
      <c r="U656" s="36">
        <f>Table24[[#This Row],[WagesPercent]]+Table24[[#This Row],[FoodCostPercent]]</f>
        <v>0.55917329556640261</v>
      </c>
      <c r="V656" s="36"/>
    </row>
    <row r="657" spans="1:22" x14ac:dyDescent="0.25">
      <c r="A657" s="20">
        <v>656</v>
      </c>
      <c r="B657" s="21" t="s">
        <v>113</v>
      </c>
      <c r="C657" s="21" t="s">
        <v>112</v>
      </c>
      <c r="D657" s="6" t="s">
        <v>65</v>
      </c>
      <c r="E657" s="6">
        <v>3804005</v>
      </c>
      <c r="F657" s="6" t="s">
        <v>10</v>
      </c>
      <c r="G657" s="6" t="s">
        <v>7</v>
      </c>
      <c r="H657" s="6" t="s">
        <v>41</v>
      </c>
      <c r="I657" s="23">
        <v>15136.96</v>
      </c>
      <c r="J657" s="23">
        <v>16509.97</v>
      </c>
      <c r="K657" s="23">
        <v>1028</v>
      </c>
      <c r="L657" s="23"/>
      <c r="M657" s="23">
        <f>4237.48-63+194.92</f>
        <v>4369.3999999999996</v>
      </c>
      <c r="N657" s="23">
        <v>761.21</v>
      </c>
      <c r="O657" s="23">
        <f>+Table24[[#This Row],[FoodcostBlueline]]+Table24[[#This Row],[Pepsico]]</f>
        <v>5130.6099999999997</v>
      </c>
      <c r="P657" s="24">
        <f t="shared" si="28"/>
        <v>0.33894586495571105</v>
      </c>
      <c r="Q657" s="24"/>
      <c r="R657" s="23">
        <v>3197.23</v>
      </c>
      <c r="S657" s="25">
        <f t="shared" si="29"/>
        <v>0.21122008646386065</v>
      </c>
      <c r="T657" s="36"/>
      <c r="U657" s="36">
        <f>Table24[[#This Row],[WagesPercent]]+Table24[[#This Row],[FoodCostPercent]]</f>
        <v>0.5501659514195717</v>
      </c>
      <c r="V657" s="36"/>
    </row>
    <row r="658" spans="1:22" x14ac:dyDescent="0.25">
      <c r="A658" s="20">
        <v>657</v>
      </c>
      <c r="B658" s="21" t="s">
        <v>113</v>
      </c>
      <c r="C658" s="21" t="s">
        <v>112</v>
      </c>
      <c r="D658" s="6" t="s">
        <v>65</v>
      </c>
      <c r="E658" s="6">
        <v>3804006</v>
      </c>
      <c r="F658" s="6" t="s">
        <v>11</v>
      </c>
      <c r="G658" s="6" t="s">
        <v>7</v>
      </c>
      <c r="H658" s="6" t="s">
        <v>41</v>
      </c>
      <c r="I658" s="23">
        <v>9009.4850000000006</v>
      </c>
      <c r="J658" s="23">
        <v>10546.96</v>
      </c>
      <c r="K658" s="23">
        <v>663</v>
      </c>
      <c r="L658" s="23"/>
      <c r="M658" s="23">
        <f>3010.85+309.9-41+185.13+62.6</f>
        <v>3527.48</v>
      </c>
      <c r="N658" s="23">
        <v>481.96</v>
      </c>
      <c r="O658" s="23">
        <f>+Table24[[#This Row],[FoodcostBlueline]]+Table24[[#This Row],[Pepsico]]</f>
        <v>4009.44</v>
      </c>
      <c r="P658" s="24">
        <f t="shared" si="28"/>
        <v>0.44502432713967555</v>
      </c>
      <c r="Q658" s="24"/>
      <c r="R658" s="23">
        <v>1954.83</v>
      </c>
      <c r="S658" s="25">
        <f t="shared" si="29"/>
        <v>0.21697466614351429</v>
      </c>
      <c r="T658" s="36"/>
      <c r="U658" s="36">
        <f>Table24[[#This Row],[WagesPercent]]+Table24[[#This Row],[FoodCostPercent]]</f>
        <v>0.66199899328318978</v>
      </c>
      <c r="V658" s="36"/>
    </row>
    <row r="659" spans="1:22" x14ac:dyDescent="0.25">
      <c r="A659" s="20">
        <v>658</v>
      </c>
      <c r="B659" s="21" t="s">
        <v>113</v>
      </c>
      <c r="C659" s="21" t="s">
        <v>112</v>
      </c>
      <c r="D659" s="6" t="s">
        <v>65</v>
      </c>
      <c r="E659" s="6">
        <v>3804008</v>
      </c>
      <c r="F659" s="6" t="s">
        <v>12</v>
      </c>
      <c r="G659" s="6" t="s">
        <v>42</v>
      </c>
      <c r="H659" s="6" t="s">
        <v>41</v>
      </c>
      <c r="I659" s="23">
        <v>22591.84</v>
      </c>
      <c r="J659" s="23">
        <v>24936.53</v>
      </c>
      <c r="K659" s="23">
        <v>1393</v>
      </c>
      <c r="L659" s="23"/>
      <c r="M659" s="23">
        <f>6387.44-99</f>
        <v>6288.44</v>
      </c>
      <c r="N659" s="23">
        <v>517.99</v>
      </c>
      <c r="O659" s="23">
        <f>+Table24[[#This Row],[FoodcostBlueline]]+Table24[[#This Row],[Pepsico]]</f>
        <v>6806.4299999999994</v>
      </c>
      <c r="P659" s="24">
        <f t="shared" si="28"/>
        <v>0.30127824913774176</v>
      </c>
      <c r="Q659" s="24"/>
      <c r="R659" s="23">
        <v>5244</v>
      </c>
      <c r="S659" s="25">
        <f t="shared" si="29"/>
        <v>0.23211920764311361</v>
      </c>
      <c r="T659" s="36"/>
      <c r="U659" s="36">
        <f>Table24[[#This Row],[WagesPercent]]+Table24[[#This Row],[FoodCostPercent]]</f>
        <v>0.53339745678085537</v>
      </c>
      <c r="V659" s="36"/>
    </row>
    <row r="660" spans="1:22" x14ac:dyDescent="0.25">
      <c r="A660" s="20">
        <v>659</v>
      </c>
      <c r="B660" s="21" t="s">
        <v>113</v>
      </c>
      <c r="C660" s="21" t="s">
        <v>112</v>
      </c>
      <c r="D660" s="6" t="s">
        <v>65</v>
      </c>
      <c r="E660" s="6">
        <v>3804009</v>
      </c>
      <c r="F660" s="6" t="s">
        <v>13</v>
      </c>
      <c r="G660" s="6" t="s">
        <v>42</v>
      </c>
      <c r="H660" s="6" t="s">
        <v>41</v>
      </c>
      <c r="I660" s="23">
        <v>17839.2</v>
      </c>
      <c r="J660" s="23">
        <v>17147.37</v>
      </c>
      <c r="K660" s="23">
        <v>1069</v>
      </c>
      <c r="L660" s="23"/>
      <c r="M660" s="23">
        <f>4806.46-111</f>
        <v>4695.46</v>
      </c>
      <c r="N660" s="23">
        <v>0</v>
      </c>
      <c r="O660" s="23">
        <f>+Table24[[#This Row],[FoodcostBlueline]]+Table24[[#This Row],[Pepsico]]</f>
        <v>4695.46</v>
      </c>
      <c r="P660" s="24">
        <f t="shared" si="28"/>
        <v>0.26321023364276425</v>
      </c>
      <c r="Q660" s="24"/>
      <c r="R660" s="23">
        <f>354.96+3209</f>
        <v>3563.96</v>
      </c>
      <c r="S660" s="25">
        <f t="shared" si="29"/>
        <v>0.19978250145746446</v>
      </c>
      <c r="T660" s="36"/>
      <c r="U660" s="36">
        <f>Table24[[#This Row],[WagesPercent]]+Table24[[#This Row],[FoodCostPercent]]</f>
        <v>0.4629927351002287</v>
      </c>
      <c r="V660" s="36"/>
    </row>
    <row r="661" spans="1:22" x14ac:dyDescent="0.25">
      <c r="A661" s="20">
        <v>660</v>
      </c>
      <c r="B661" s="21" t="s">
        <v>113</v>
      </c>
      <c r="C661" s="21" t="s">
        <v>112</v>
      </c>
      <c r="D661" s="6" t="s">
        <v>65</v>
      </c>
      <c r="E661" s="6">
        <v>3804010</v>
      </c>
      <c r="F661" s="6" t="s">
        <v>14</v>
      </c>
      <c r="G661" s="6" t="s">
        <v>42</v>
      </c>
      <c r="H661" s="6" t="s">
        <v>41</v>
      </c>
      <c r="I661" s="51">
        <v>9167.41</v>
      </c>
      <c r="J661" s="23">
        <v>8950.24</v>
      </c>
      <c r="K661" s="23">
        <v>559</v>
      </c>
      <c r="L661" s="23"/>
      <c r="M661" s="23">
        <f>2329.61-41</f>
        <v>2288.61</v>
      </c>
      <c r="N661" s="23">
        <v>232.54</v>
      </c>
      <c r="O661" s="23">
        <f>+Table24[[#This Row],[FoodcostBlueline]]+Table24[[#This Row],[Pepsico]]</f>
        <v>2521.15</v>
      </c>
      <c r="P661" s="24">
        <f t="shared" si="28"/>
        <v>0.27501224446163092</v>
      </c>
      <c r="Q661" s="24"/>
      <c r="R661" s="23">
        <v>1300</v>
      </c>
      <c r="S661" s="25">
        <f t="shared" si="29"/>
        <v>0.14180668258537579</v>
      </c>
      <c r="T661" s="36"/>
      <c r="U661" s="36">
        <f>Table24[[#This Row],[WagesPercent]]+Table24[[#This Row],[FoodCostPercent]]</f>
        <v>0.41681892704700674</v>
      </c>
      <c r="V661" s="36"/>
    </row>
    <row r="662" spans="1:22" x14ac:dyDescent="0.25">
      <c r="A662" s="20">
        <v>661</v>
      </c>
      <c r="B662" s="21" t="s">
        <v>113</v>
      </c>
      <c r="C662" s="21" t="s">
        <v>112</v>
      </c>
      <c r="D662" s="6" t="s">
        <v>65</v>
      </c>
      <c r="E662" s="6">
        <v>3804011</v>
      </c>
      <c r="F662" s="6" t="s">
        <v>15</v>
      </c>
      <c r="G662" s="6" t="s">
        <v>79</v>
      </c>
      <c r="H662" s="6" t="s">
        <v>41</v>
      </c>
      <c r="I662" s="23">
        <v>30661.02</v>
      </c>
      <c r="J662" s="23">
        <v>23933.91</v>
      </c>
      <c r="K662" s="23">
        <v>1971</v>
      </c>
      <c r="L662" s="23"/>
      <c r="M662" s="23">
        <f>7767.32-62</f>
        <v>7705.32</v>
      </c>
      <c r="N662" s="23">
        <v>583.67999999999995</v>
      </c>
      <c r="O662" s="23">
        <f>+Table24[[#This Row],[FoodcostBlueline]]+Table24[[#This Row],[Pepsico]]</f>
        <v>8289</v>
      </c>
      <c r="P662" s="24">
        <f t="shared" si="28"/>
        <v>0.270343256682263</v>
      </c>
      <c r="Q662" s="24"/>
      <c r="R662" s="23">
        <f>3670.17+650</f>
        <v>4320.17</v>
      </c>
      <c r="S662" s="25">
        <f t="shared" si="29"/>
        <v>0.14090105286777804</v>
      </c>
      <c r="T662" s="36"/>
      <c r="U662" s="36">
        <f>Table24[[#This Row],[WagesPercent]]+Table24[[#This Row],[FoodCostPercent]]</f>
        <v>0.41124430955004104</v>
      </c>
      <c r="V662" s="36"/>
    </row>
    <row r="663" spans="1:22" x14ac:dyDescent="0.25">
      <c r="A663" s="20">
        <v>662</v>
      </c>
      <c r="B663" s="21" t="s">
        <v>113</v>
      </c>
      <c r="C663" s="21" t="s">
        <v>112</v>
      </c>
      <c r="D663" s="6" t="s">
        <v>65</v>
      </c>
      <c r="E663" s="6">
        <v>3804013</v>
      </c>
      <c r="F663" s="6" t="s">
        <v>17</v>
      </c>
      <c r="G663" s="6" t="s">
        <v>79</v>
      </c>
      <c r="H663" s="6" t="s">
        <v>41</v>
      </c>
      <c r="I663" s="23">
        <v>9621.74</v>
      </c>
      <c r="J663" s="23">
        <v>8890.4500000000007</v>
      </c>
      <c r="K663" s="23">
        <v>561</v>
      </c>
      <c r="L663" s="23"/>
      <c r="M663" s="23">
        <f>2648.74-40</f>
        <v>2608.7399999999998</v>
      </c>
      <c r="N663" s="23">
        <v>262.7</v>
      </c>
      <c r="O663" s="23">
        <f>+Table24[[#This Row],[FoodcostBlueline]]+Table24[[#This Row],[Pepsico]]</f>
        <v>2871.4399999999996</v>
      </c>
      <c r="P663" s="24">
        <f t="shared" si="28"/>
        <v>0.29843250804947957</v>
      </c>
      <c r="Q663" s="24"/>
      <c r="R663" s="23">
        <v>2205.41</v>
      </c>
      <c r="S663" s="25">
        <f t="shared" si="29"/>
        <v>0.22921114060450604</v>
      </c>
      <c r="T663" s="36"/>
      <c r="U663" s="36">
        <f>Table24[[#This Row],[WagesPercent]]+Table24[[#This Row],[FoodCostPercent]]</f>
        <v>0.52764364865398561</v>
      </c>
      <c r="V663" s="36"/>
    </row>
    <row r="664" spans="1:22" x14ac:dyDescent="0.25">
      <c r="A664" s="20">
        <v>663</v>
      </c>
      <c r="B664" s="21" t="s">
        <v>113</v>
      </c>
      <c r="C664" s="21" t="s">
        <v>112</v>
      </c>
      <c r="D664" s="6" t="s">
        <v>65</v>
      </c>
      <c r="E664" s="6">
        <v>3804014</v>
      </c>
      <c r="F664" s="6" t="s">
        <v>18</v>
      </c>
      <c r="G664" s="6" t="s">
        <v>79</v>
      </c>
      <c r="H664" s="6" t="s">
        <v>41</v>
      </c>
      <c r="I664" s="23">
        <v>8872.57</v>
      </c>
      <c r="J664" s="23">
        <v>8763.2000000000007</v>
      </c>
      <c r="K664" s="23">
        <v>534</v>
      </c>
      <c r="L664" s="23"/>
      <c r="M664" s="23">
        <f>2484.55-41</f>
        <v>2443.5500000000002</v>
      </c>
      <c r="N664" s="23">
        <v>0</v>
      </c>
      <c r="O664" s="23">
        <f>+Table24[[#This Row],[FoodcostBlueline]]+Table24[[#This Row],[Pepsico]]</f>
        <v>2443.5500000000002</v>
      </c>
      <c r="P664" s="24">
        <f t="shared" si="28"/>
        <v>0.27540498412523096</v>
      </c>
      <c r="Q664" s="24"/>
      <c r="R664" s="23">
        <f>1628.92+100</f>
        <v>1728.92</v>
      </c>
      <c r="S664" s="25">
        <f t="shared" si="29"/>
        <v>0.19486124088060169</v>
      </c>
      <c r="T664" s="36"/>
      <c r="U664" s="36">
        <f>Table24[[#This Row],[WagesPercent]]+Table24[[#This Row],[FoodCostPercent]]</f>
        <v>0.47026622500583265</v>
      </c>
      <c r="V664" s="36"/>
    </row>
    <row r="665" spans="1:22" x14ac:dyDescent="0.25">
      <c r="A665" s="20">
        <v>664</v>
      </c>
      <c r="B665" s="21" t="s">
        <v>113</v>
      </c>
      <c r="C665" s="21" t="s">
        <v>112</v>
      </c>
      <c r="D665" s="6" t="s">
        <v>65</v>
      </c>
      <c r="E665" s="6">
        <v>3804015</v>
      </c>
      <c r="F665" s="6" t="s">
        <v>19</v>
      </c>
      <c r="G665" s="6" t="s">
        <v>20</v>
      </c>
      <c r="H665" s="6" t="s">
        <v>41</v>
      </c>
      <c r="I665" s="23">
        <v>15937.26</v>
      </c>
      <c r="J665" s="23">
        <v>17573.810000000001</v>
      </c>
      <c r="K665" s="23">
        <v>1013</v>
      </c>
      <c r="L665" s="23"/>
      <c r="M665" s="23">
        <f>4399.19-42</f>
        <v>4357.1899999999996</v>
      </c>
      <c r="N665" s="23">
        <v>198.75</v>
      </c>
      <c r="O665" s="23">
        <f>+Table24[[#This Row],[FoodcostBlueline]]+Table24[[#This Row],[Pepsico]]</f>
        <v>4555.9399999999996</v>
      </c>
      <c r="P665" s="24">
        <f t="shared" si="28"/>
        <v>0.28586720678460409</v>
      </c>
      <c r="Q665" s="24"/>
      <c r="R665" s="23">
        <v>3637.28</v>
      </c>
      <c r="S665" s="25">
        <f t="shared" si="29"/>
        <v>0.22822492699497907</v>
      </c>
      <c r="T665" s="36"/>
      <c r="U665" s="36">
        <f>Table24[[#This Row],[WagesPercent]]+Table24[[#This Row],[FoodCostPercent]]</f>
        <v>0.51409213377958318</v>
      </c>
      <c r="V665" s="36"/>
    </row>
    <row r="666" spans="1:22" x14ac:dyDescent="0.25">
      <c r="A666" s="20">
        <v>665</v>
      </c>
      <c r="B666" s="21" t="s">
        <v>113</v>
      </c>
      <c r="C666" s="21" t="s">
        <v>112</v>
      </c>
      <c r="D666" s="6" t="s">
        <v>65</v>
      </c>
      <c r="E666" s="6">
        <v>3804016</v>
      </c>
      <c r="F666" s="6" t="s">
        <v>21</v>
      </c>
      <c r="G666" s="6" t="s">
        <v>22</v>
      </c>
      <c r="H666" s="6" t="s">
        <v>40</v>
      </c>
      <c r="I666" s="23">
        <v>14129.12</v>
      </c>
      <c r="J666" s="23">
        <v>16433.330000000002</v>
      </c>
      <c r="K666" s="23">
        <v>820</v>
      </c>
      <c r="L666" s="23"/>
      <c r="M666" s="23">
        <f>3833.55-24</f>
        <v>3809.55</v>
      </c>
      <c r="N666" s="23">
        <v>788.46</v>
      </c>
      <c r="O666" s="23">
        <f>+Table24[[#This Row],[FoodcostBlueline]]+Table24[[#This Row],[Pepsico]]</f>
        <v>4598.01</v>
      </c>
      <c r="P666" s="24">
        <f t="shared" si="28"/>
        <v>0.32542791058466486</v>
      </c>
      <c r="Q666" s="24"/>
      <c r="R666" s="23">
        <v>3280.77</v>
      </c>
      <c r="S666" s="25">
        <f t="shared" si="29"/>
        <v>0.23219917447087998</v>
      </c>
      <c r="T666" s="36"/>
      <c r="U666" s="36">
        <f>Table24[[#This Row],[WagesPercent]]+Table24[[#This Row],[FoodCostPercent]]</f>
        <v>0.55762708505554481</v>
      </c>
      <c r="V666" s="36"/>
    </row>
    <row r="667" spans="1:22" x14ac:dyDescent="0.25">
      <c r="A667" s="20">
        <v>666</v>
      </c>
      <c r="B667" s="21" t="s">
        <v>113</v>
      </c>
      <c r="C667" s="21" t="s">
        <v>112</v>
      </c>
      <c r="D667" s="6" t="s">
        <v>65</v>
      </c>
      <c r="E667" s="6">
        <v>3804017</v>
      </c>
      <c r="F667" s="6" t="s">
        <v>23</v>
      </c>
      <c r="G667" s="6" t="s">
        <v>22</v>
      </c>
      <c r="H667" s="6" t="s">
        <v>40</v>
      </c>
      <c r="I667" s="23">
        <v>21086.34</v>
      </c>
      <c r="J667" s="23">
        <v>21230.25</v>
      </c>
      <c r="K667" s="23">
        <v>1326</v>
      </c>
      <c r="L667" s="23"/>
      <c r="M667" s="23">
        <f>5145.49-16</f>
        <v>5129.49</v>
      </c>
      <c r="N667" s="23">
        <v>0</v>
      </c>
      <c r="O667" s="23">
        <f>+Table24[[#This Row],[FoodcostBlueline]]+Table24[[#This Row],[Pepsico]]</f>
        <v>5129.49</v>
      </c>
      <c r="P667" s="24">
        <f t="shared" si="28"/>
        <v>0.2432612772060016</v>
      </c>
      <c r="Q667" s="24"/>
      <c r="R667" s="23">
        <v>3756.3</v>
      </c>
      <c r="S667" s="25">
        <f t="shared" si="29"/>
        <v>0.17813902270379783</v>
      </c>
      <c r="T667" s="36"/>
      <c r="U667" s="36">
        <f>Table24[[#This Row],[WagesPercent]]+Table24[[#This Row],[FoodCostPercent]]</f>
        <v>0.42140029990979944</v>
      </c>
      <c r="V667" s="36"/>
    </row>
    <row r="668" spans="1:22" x14ac:dyDescent="0.25">
      <c r="A668" s="20">
        <v>667</v>
      </c>
      <c r="B668" s="21" t="s">
        <v>113</v>
      </c>
      <c r="C668" s="21" t="s">
        <v>112</v>
      </c>
      <c r="D668" s="6" t="s">
        <v>65</v>
      </c>
      <c r="E668" s="6">
        <v>3804018</v>
      </c>
      <c r="F668" s="6" t="s">
        <v>24</v>
      </c>
      <c r="G668" s="6" t="s">
        <v>20</v>
      </c>
      <c r="H668" s="6" t="s">
        <v>41</v>
      </c>
      <c r="I668" s="37">
        <v>23386.93</v>
      </c>
      <c r="J668" s="23">
        <v>20215.599999999999</v>
      </c>
      <c r="K668" s="23">
        <v>1358</v>
      </c>
      <c r="L668" s="23"/>
      <c r="M668" s="23">
        <f>6580.07-23</f>
        <v>6557.07</v>
      </c>
      <c r="N668" s="23">
        <v>315.63</v>
      </c>
      <c r="O668" s="23">
        <f>+Table24[[#This Row],[FoodcostBlueline]]+Table24[[#This Row],[Pepsico]]</f>
        <v>6872.7</v>
      </c>
      <c r="P668" s="24">
        <f t="shared" si="28"/>
        <v>0.29386926800567664</v>
      </c>
      <c r="Q668" s="24"/>
      <c r="R668" s="23">
        <v>4963.1400000000003</v>
      </c>
      <c r="S668" s="25">
        <f t="shared" si="29"/>
        <v>0.2122185340273392</v>
      </c>
      <c r="T668" s="36"/>
      <c r="U668" s="36">
        <f>Table24[[#This Row],[WagesPercent]]+Table24[[#This Row],[FoodCostPercent]]</f>
        <v>0.50608780203301584</v>
      </c>
      <c r="V668" s="36"/>
    </row>
    <row r="669" spans="1:22" x14ac:dyDescent="0.25">
      <c r="A669" s="20">
        <v>668</v>
      </c>
      <c r="B669" s="21" t="s">
        <v>113</v>
      </c>
      <c r="C669" s="21" t="s">
        <v>112</v>
      </c>
      <c r="D669" s="6" t="s">
        <v>65</v>
      </c>
      <c r="E669" s="6">
        <v>3804019</v>
      </c>
      <c r="F669" s="6" t="s">
        <v>25</v>
      </c>
      <c r="G669" s="6" t="s">
        <v>20</v>
      </c>
      <c r="H669" s="6" t="s">
        <v>41</v>
      </c>
      <c r="I669" s="23">
        <v>14568.7</v>
      </c>
      <c r="J669" s="23">
        <v>15043.51</v>
      </c>
      <c r="K669" s="23">
        <v>904</v>
      </c>
      <c r="L669" s="23"/>
      <c r="M669" s="23">
        <f>4262.37-12.35-13</f>
        <v>4237.0199999999995</v>
      </c>
      <c r="N669" s="23">
        <v>197.95</v>
      </c>
      <c r="O669" s="23">
        <f>+Table24[[#This Row],[FoodcostBlueline]]+Table24[[#This Row],[Pepsico]]</f>
        <v>4434.9699999999993</v>
      </c>
      <c r="P669" s="24">
        <f t="shared" si="28"/>
        <v>0.30441768997920193</v>
      </c>
      <c r="Q669" s="24"/>
      <c r="R669" s="23">
        <v>3315.88</v>
      </c>
      <c r="S669" s="25">
        <f t="shared" si="29"/>
        <v>0.22760301193654889</v>
      </c>
      <c r="T669" s="36"/>
      <c r="U669" s="36">
        <f>Table24[[#This Row],[WagesPercent]]+Table24[[#This Row],[FoodCostPercent]]</f>
        <v>0.53202070191575079</v>
      </c>
      <c r="V669" s="36"/>
    </row>
    <row r="670" spans="1:22" x14ac:dyDescent="0.25">
      <c r="A670" s="20">
        <v>669</v>
      </c>
      <c r="B670" s="21" t="s">
        <v>113</v>
      </c>
      <c r="C670" s="21" t="s">
        <v>112</v>
      </c>
      <c r="D670" s="6" t="s">
        <v>65</v>
      </c>
      <c r="E670" s="6">
        <v>3804020</v>
      </c>
      <c r="F670" s="6" t="s">
        <v>26</v>
      </c>
      <c r="G670" s="6" t="s">
        <v>22</v>
      </c>
      <c r="H670" s="6" t="s">
        <v>40</v>
      </c>
      <c r="I670" s="23">
        <v>12499.25</v>
      </c>
      <c r="J670" s="23">
        <v>12347.78</v>
      </c>
      <c r="K670" s="23">
        <v>737</v>
      </c>
      <c r="L670" s="23"/>
      <c r="M670" s="23">
        <f>3441.54-11</f>
        <v>3430.54</v>
      </c>
      <c r="N670" s="23">
        <v>214.07</v>
      </c>
      <c r="O670" s="23">
        <f>+Table24[[#This Row],[FoodcostBlueline]]+Table24[[#This Row],[Pepsico]]</f>
        <v>3644.61</v>
      </c>
      <c r="P670" s="24">
        <f t="shared" si="28"/>
        <v>0.29158629517771067</v>
      </c>
      <c r="Q670" s="24"/>
      <c r="R670" s="23">
        <v>2868.82</v>
      </c>
      <c r="S670" s="25">
        <f t="shared" si="29"/>
        <v>0.22951937116226975</v>
      </c>
      <c r="T670" s="36"/>
      <c r="U670" s="36">
        <f>Table24[[#This Row],[WagesPercent]]+Table24[[#This Row],[FoodCostPercent]]</f>
        <v>0.52110566633998046</v>
      </c>
      <c r="V670" s="36"/>
    </row>
    <row r="671" spans="1:22" x14ac:dyDescent="0.25">
      <c r="A671" s="20">
        <v>670</v>
      </c>
      <c r="B671" s="21" t="s">
        <v>113</v>
      </c>
      <c r="C671" s="21" t="s">
        <v>112</v>
      </c>
      <c r="D671" s="6" t="s">
        <v>65</v>
      </c>
      <c r="E671" s="6">
        <v>3804021</v>
      </c>
      <c r="F671" s="6" t="s">
        <v>27</v>
      </c>
      <c r="G671" s="6" t="s">
        <v>22</v>
      </c>
      <c r="H671" s="6" t="s">
        <v>40</v>
      </c>
      <c r="I671" s="23">
        <v>19220.84</v>
      </c>
      <c r="J671" s="23">
        <v>27288.71</v>
      </c>
      <c r="K671" s="23">
        <v>1153</v>
      </c>
      <c r="L671" s="23"/>
      <c r="M671" s="23">
        <f>6824.7-23</f>
        <v>6801.7</v>
      </c>
      <c r="N671" s="23">
        <v>744.99</v>
      </c>
      <c r="O671" s="23">
        <f>+Table24[[#This Row],[FoodcostBlueline]]+Table24[[#This Row],[Pepsico]]</f>
        <v>7546.69</v>
      </c>
      <c r="P671" s="24">
        <f t="shared" si="28"/>
        <v>0.39263060303295794</v>
      </c>
      <c r="Q671" s="24"/>
      <c r="R671" s="23">
        <v>4138.6899999999996</v>
      </c>
      <c r="S671" s="25">
        <f t="shared" si="29"/>
        <v>0.2153230556000674</v>
      </c>
      <c r="T671" s="36"/>
      <c r="U671" s="36">
        <f>Table24[[#This Row],[WagesPercent]]+Table24[[#This Row],[FoodCostPercent]]</f>
        <v>0.60795365863302531</v>
      </c>
      <c r="V671" s="36"/>
    </row>
    <row r="672" spans="1:22" x14ac:dyDescent="0.25">
      <c r="A672" s="20">
        <v>671</v>
      </c>
      <c r="B672" s="21" t="s">
        <v>113</v>
      </c>
      <c r="C672" s="21" t="s">
        <v>112</v>
      </c>
      <c r="D672" s="6" t="s">
        <v>65</v>
      </c>
      <c r="E672" s="6">
        <v>3804022</v>
      </c>
      <c r="F672" s="6" t="s">
        <v>28</v>
      </c>
      <c r="G672" s="6" t="s">
        <v>22</v>
      </c>
      <c r="H672" s="6" t="s">
        <v>40</v>
      </c>
      <c r="I672" s="23">
        <v>13642.37</v>
      </c>
      <c r="J672" s="23">
        <v>15988.16</v>
      </c>
      <c r="K672" s="23">
        <v>819</v>
      </c>
      <c r="L672" s="23"/>
      <c r="M672" s="23">
        <f>3241.99-12.35-10</f>
        <v>3219.64</v>
      </c>
      <c r="N672" s="23">
        <v>263.11</v>
      </c>
      <c r="O672" s="23">
        <f>+Table24[[#This Row],[FoodcostBlueline]]+Table24[[#This Row],[Pepsico]]</f>
        <v>3482.75</v>
      </c>
      <c r="P672" s="24">
        <f t="shared" si="28"/>
        <v>0.2552892202747763</v>
      </c>
      <c r="Q672" s="24"/>
      <c r="R672" s="23">
        <v>3099.99</v>
      </c>
      <c r="S672" s="25">
        <f t="shared" si="29"/>
        <v>0.22723251165303388</v>
      </c>
      <c r="T672" s="36"/>
      <c r="U672" s="36">
        <f>Table24[[#This Row],[WagesPercent]]+Table24[[#This Row],[FoodCostPercent]]</f>
        <v>0.48252173192781017</v>
      </c>
      <c r="V672" s="36"/>
    </row>
    <row r="673" spans="1:22" x14ac:dyDescent="0.25">
      <c r="A673" s="20">
        <v>672</v>
      </c>
      <c r="B673" s="21" t="s">
        <v>113</v>
      </c>
      <c r="C673" s="21" t="s">
        <v>112</v>
      </c>
      <c r="D673" s="6" t="s">
        <v>65</v>
      </c>
      <c r="E673" s="6">
        <v>3804023</v>
      </c>
      <c r="F673" s="6" t="s">
        <v>29</v>
      </c>
      <c r="G673" s="6" t="s">
        <v>22</v>
      </c>
      <c r="H673" s="6" t="s">
        <v>40</v>
      </c>
      <c r="I673" s="23">
        <v>14900.36</v>
      </c>
      <c r="J673" s="23">
        <v>17028</v>
      </c>
      <c r="K673" s="23">
        <v>914</v>
      </c>
      <c r="L673" s="23"/>
      <c r="M673" s="23">
        <f>4341.85-20</f>
        <v>4321.8500000000004</v>
      </c>
      <c r="N673" s="23">
        <v>352.19</v>
      </c>
      <c r="O673" s="23">
        <f>+Table24[[#This Row],[FoodcostBlueline]]+Table24[[#This Row],[Pepsico]]</f>
        <v>4674.04</v>
      </c>
      <c r="P673" s="24">
        <f t="shared" si="28"/>
        <v>0.31368638073174071</v>
      </c>
      <c r="Q673" s="24"/>
      <c r="R673" s="23">
        <v>2834.28</v>
      </c>
      <c r="S673" s="25">
        <f t="shared" si="29"/>
        <v>0.19021553841652147</v>
      </c>
      <c r="T673" s="36"/>
      <c r="U673" s="36">
        <f>Table24[[#This Row],[WagesPercent]]+Table24[[#This Row],[FoodCostPercent]]</f>
        <v>0.50390191914826221</v>
      </c>
      <c r="V673" s="36"/>
    </row>
    <row r="674" spans="1:22" x14ac:dyDescent="0.25">
      <c r="A674" s="20">
        <v>673</v>
      </c>
      <c r="B674" s="21" t="s">
        <v>113</v>
      </c>
      <c r="C674" s="21" t="s">
        <v>112</v>
      </c>
      <c r="D674" s="6" t="s">
        <v>65</v>
      </c>
      <c r="E674" s="6">
        <v>3804024</v>
      </c>
      <c r="F674" s="6" t="s">
        <v>30</v>
      </c>
      <c r="G674" s="6" t="s">
        <v>20</v>
      </c>
      <c r="H674" s="6" t="s">
        <v>41</v>
      </c>
      <c r="I674" s="23">
        <v>10362.57</v>
      </c>
      <c r="J674" s="23">
        <v>12061.86</v>
      </c>
      <c r="K674" s="23">
        <v>625</v>
      </c>
      <c r="L674" s="23"/>
      <c r="M674" s="23">
        <f>40.06+3322.96-47</f>
        <v>3316.02</v>
      </c>
      <c r="N674" s="23">
        <v>388.68</v>
      </c>
      <c r="O674" s="23">
        <f>+Table24[[#This Row],[FoodcostBlueline]]+Table24[[#This Row],[Pepsico]]</f>
        <v>3704.7</v>
      </c>
      <c r="P674" s="24">
        <f t="shared" si="28"/>
        <v>0.3575078383065205</v>
      </c>
      <c r="Q674" s="24"/>
      <c r="R674" s="23">
        <f>3141.69+252.52</f>
        <v>3394.21</v>
      </c>
      <c r="S674" s="25">
        <f t="shared" si="29"/>
        <v>0.32754519390460091</v>
      </c>
      <c r="T674" s="36"/>
      <c r="U674" s="36">
        <f>Table24[[#This Row],[WagesPercent]]+Table24[[#This Row],[FoodCostPercent]]</f>
        <v>0.68505303221112146</v>
      </c>
      <c r="V674" s="36"/>
    </row>
    <row r="675" spans="1:22" x14ac:dyDescent="0.25">
      <c r="A675" s="20">
        <v>674</v>
      </c>
      <c r="B675" s="21" t="s">
        <v>113</v>
      </c>
      <c r="C675" s="21" t="s">
        <v>112</v>
      </c>
      <c r="D675" s="6" t="s">
        <v>65</v>
      </c>
      <c r="E675" s="6">
        <v>3804025</v>
      </c>
      <c r="F675" s="6" t="s">
        <v>31</v>
      </c>
      <c r="G675" s="6" t="s">
        <v>20</v>
      </c>
      <c r="H675" s="6" t="s">
        <v>41</v>
      </c>
      <c r="I675" s="23">
        <v>28469.85</v>
      </c>
      <c r="J675" s="23">
        <v>27121.41</v>
      </c>
      <c r="K675" s="23">
        <v>1750</v>
      </c>
      <c r="L675" s="23"/>
      <c r="M675" s="23">
        <f>7030.41-79.5-45</f>
        <v>6905.91</v>
      </c>
      <c r="N675" s="23">
        <v>284.56</v>
      </c>
      <c r="O675" s="23">
        <f>+Table24[[#This Row],[FoodcostBlueline]]+Table24[[#This Row],[Pepsico]]</f>
        <v>7190.47</v>
      </c>
      <c r="P675" s="24">
        <f t="shared" si="28"/>
        <v>0.25256437951025384</v>
      </c>
      <c r="Q675" s="24"/>
      <c r="R675" s="23">
        <v>5689.4</v>
      </c>
      <c r="S675" s="25">
        <f t="shared" si="29"/>
        <v>0.19983947930881266</v>
      </c>
      <c r="T675" s="36"/>
      <c r="U675" s="36">
        <f>Table24[[#This Row],[WagesPercent]]+Table24[[#This Row],[FoodCostPercent]]</f>
        <v>0.45240385881906653</v>
      </c>
      <c r="V675" s="36"/>
    </row>
    <row r="676" spans="1:22" x14ac:dyDescent="0.25">
      <c r="A676" s="20">
        <v>675</v>
      </c>
      <c r="B676" s="21" t="s">
        <v>113</v>
      </c>
      <c r="C676" s="21" t="s">
        <v>112</v>
      </c>
      <c r="D676" s="6" t="s">
        <v>65</v>
      </c>
      <c r="E676" s="6">
        <v>3804026</v>
      </c>
      <c r="F676" s="6" t="s">
        <v>32</v>
      </c>
      <c r="G676" s="6" t="s">
        <v>79</v>
      </c>
      <c r="H676" s="6" t="s">
        <v>41</v>
      </c>
      <c r="I676" s="23">
        <v>13538.31</v>
      </c>
      <c r="J676" s="23">
        <v>14378.28</v>
      </c>
      <c r="K676" s="23">
        <v>795</v>
      </c>
      <c r="L676" s="23"/>
      <c r="M676" s="23">
        <f>4134.9-58</f>
        <v>4076.8999999999996</v>
      </c>
      <c r="N676" s="23">
        <v>315.92</v>
      </c>
      <c r="O676" s="23">
        <f>+Table24[[#This Row],[FoodcostBlueline]]+Table24[[#This Row],[Pepsico]]</f>
        <v>4392.82</v>
      </c>
      <c r="P676" s="24">
        <f t="shared" si="28"/>
        <v>0.32447329097945016</v>
      </c>
      <c r="Q676" s="24"/>
      <c r="R676" s="23">
        <v>3623.33</v>
      </c>
      <c r="S676" s="25">
        <f t="shared" si="29"/>
        <v>0.26763532523631089</v>
      </c>
      <c r="T676" s="36"/>
      <c r="U676" s="36">
        <f>Table24[[#This Row],[WagesPercent]]+Table24[[#This Row],[FoodCostPercent]]</f>
        <v>0.59210861621576105</v>
      </c>
      <c r="V676" s="36"/>
    </row>
    <row r="677" spans="1:22" x14ac:dyDescent="0.25">
      <c r="A677" s="20">
        <v>676</v>
      </c>
      <c r="B677" s="21" t="s">
        <v>113</v>
      </c>
      <c r="C677" s="21" t="s">
        <v>112</v>
      </c>
      <c r="D677" s="6" t="s">
        <v>65</v>
      </c>
      <c r="E677" s="6">
        <v>3804027</v>
      </c>
      <c r="F677" s="6" t="s">
        <v>33</v>
      </c>
      <c r="G677" s="6" t="s">
        <v>43</v>
      </c>
      <c r="H677" s="6" t="s">
        <v>41</v>
      </c>
      <c r="I677" s="23">
        <v>18282.900000000001</v>
      </c>
      <c r="J677" s="23">
        <v>15508.77</v>
      </c>
      <c r="K677" s="23">
        <v>1230</v>
      </c>
      <c r="L677" s="23"/>
      <c r="M677" s="23">
        <f>5219.31-88</f>
        <v>5131.3100000000004</v>
      </c>
      <c r="N677" s="23">
        <v>407.75</v>
      </c>
      <c r="O677" s="23">
        <f>+Table24[[#This Row],[FoodcostBlueline]]+Table24[[#This Row],[Pepsico]]</f>
        <v>5539.06</v>
      </c>
      <c r="P677" s="24">
        <f t="shared" si="28"/>
        <v>0.30296397179878465</v>
      </c>
      <c r="Q677" s="24"/>
      <c r="R677" s="23">
        <f>2234.9+377+1600</f>
        <v>4211.8999999999996</v>
      </c>
      <c r="S677" s="25">
        <f t="shared" si="29"/>
        <v>0.23037373720799212</v>
      </c>
      <c r="T677" s="36"/>
      <c r="U677" s="36">
        <f>Table24[[#This Row],[WagesPercent]]+Table24[[#This Row],[FoodCostPercent]]</f>
        <v>0.53333770900677679</v>
      </c>
      <c r="V677" s="36"/>
    </row>
    <row r="678" spans="1:22" x14ac:dyDescent="0.25">
      <c r="A678" s="20">
        <v>677</v>
      </c>
      <c r="B678" s="21" t="s">
        <v>113</v>
      </c>
      <c r="C678" s="21" t="s">
        <v>112</v>
      </c>
      <c r="D678" s="6" t="s">
        <v>65</v>
      </c>
      <c r="E678" s="6">
        <v>3804029</v>
      </c>
      <c r="F678" s="6" t="s">
        <v>34</v>
      </c>
      <c r="G678" s="6" t="s">
        <v>79</v>
      </c>
      <c r="H678" s="6" t="s">
        <v>41</v>
      </c>
      <c r="I678" s="23">
        <v>9416.9</v>
      </c>
      <c r="J678" s="23">
        <v>10955.88</v>
      </c>
      <c r="K678" s="23">
        <v>637</v>
      </c>
      <c r="L678" s="23"/>
      <c r="M678" s="23">
        <f>2370.97-24</f>
        <v>2346.9699999999998</v>
      </c>
      <c r="N678" s="23">
        <v>318.88</v>
      </c>
      <c r="O678" s="23">
        <f>+Table24[[#This Row],[FoodcostBlueline]]+Table24[[#This Row],[Pepsico]]</f>
        <v>2665.85</v>
      </c>
      <c r="P678" s="24">
        <f t="shared" si="28"/>
        <v>0.28309210037273413</v>
      </c>
      <c r="Q678" s="24"/>
      <c r="R678" s="23">
        <f>808+1973.4</f>
        <v>2781.4</v>
      </c>
      <c r="S678" s="25">
        <f t="shared" si="29"/>
        <v>0.29536259278531152</v>
      </c>
      <c r="T678" s="36"/>
      <c r="U678" s="36">
        <f>Table24[[#This Row],[WagesPercent]]+Table24[[#This Row],[FoodCostPercent]]</f>
        <v>0.57845469315804565</v>
      </c>
      <c r="V678" s="36"/>
    </row>
    <row r="679" spans="1:22" x14ac:dyDescent="0.25">
      <c r="A679" s="20">
        <v>678</v>
      </c>
      <c r="B679" s="21" t="s">
        <v>113</v>
      </c>
      <c r="C679" s="21" t="s">
        <v>112</v>
      </c>
      <c r="D679" s="6" t="s">
        <v>65</v>
      </c>
      <c r="E679" s="6">
        <v>3804030</v>
      </c>
      <c r="F679" s="6" t="s">
        <v>35</v>
      </c>
      <c r="G679" s="6" t="s">
        <v>5</v>
      </c>
      <c r="H679" s="6" t="s">
        <v>40</v>
      </c>
      <c r="I679" s="23">
        <v>9898.08</v>
      </c>
      <c r="J679" s="23">
        <v>9665.3799999999992</v>
      </c>
      <c r="K679" s="23">
        <v>574</v>
      </c>
      <c r="L679" s="23"/>
      <c r="M679" s="23">
        <f>3003.06-56</f>
        <v>2947.06</v>
      </c>
      <c r="N679" s="23">
        <v>185.92</v>
      </c>
      <c r="O679" s="23">
        <f>+Table24[[#This Row],[FoodcostBlueline]]+Table24[[#This Row],[Pepsico]]</f>
        <v>3132.98</v>
      </c>
      <c r="P679" s="24">
        <f t="shared" si="28"/>
        <v>0.31652401273782388</v>
      </c>
      <c r="Q679" s="24"/>
      <c r="R679" s="23">
        <v>2786.34</v>
      </c>
      <c r="S679" s="25">
        <f t="shared" si="29"/>
        <v>0.28150307938509289</v>
      </c>
      <c r="T679" s="36"/>
      <c r="U679" s="36">
        <f>Table24[[#This Row],[WagesPercent]]+Table24[[#This Row],[FoodCostPercent]]</f>
        <v>0.59802709212291671</v>
      </c>
      <c r="V679" s="36"/>
    </row>
    <row r="680" spans="1:22" x14ac:dyDescent="0.25">
      <c r="A680" s="20">
        <v>679</v>
      </c>
      <c r="B680" s="21" t="s">
        <v>113</v>
      </c>
      <c r="C680" s="21" t="s">
        <v>112</v>
      </c>
      <c r="D680" s="6" t="s">
        <v>65</v>
      </c>
      <c r="E680" s="6">
        <v>3804031</v>
      </c>
      <c r="F680" s="6" t="s">
        <v>36</v>
      </c>
      <c r="G680" s="6" t="s">
        <v>5</v>
      </c>
      <c r="H680" s="6" t="s">
        <v>40</v>
      </c>
      <c r="I680" s="23">
        <v>10861.38</v>
      </c>
      <c r="J680" s="23">
        <v>8542.89</v>
      </c>
      <c r="K680" s="23">
        <v>704</v>
      </c>
      <c r="L680" s="23"/>
      <c r="M680" s="23">
        <f>2742.85-63</f>
        <v>2679.85</v>
      </c>
      <c r="N680" s="23">
        <v>199.16</v>
      </c>
      <c r="O680" s="23">
        <f>+Table24[[#This Row],[FoodcostBlueline]]+Table24[[#This Row],[Pepsico]]</f>
        <v>2879.0099999999998</v>
      </c>
      <c r="P680" s="24">
        <f t="shared" si="28"/>
        <v>0.26506852720372548</v>
      </c>
      <c r="Q680" s="24"/>
      <c r="R680" s="37">
        <f>2444.22+650</f>
        <v>3094.22</v>
      </c>
      <c r="S680" s="25">
        <f t="shared" si="29"/>
        <v>0.28488276811970487</v>
      </c>
      <c r="T680" s="36"/>
      <c r="U680" s="36">
        <f>Table24[[#This Row],[WagesPercent]]+Table24[[#This Row],[FoodCostPercent]]</f>
        <v>0.54995129532343034</v>
      </c>
      <c r="V680" s="36"/>
    </row>
    <row r="681" spans="1:22" x14ac:dyDescent="0.25">
      <c r="A681" s="20">
        <v>680</v>
      </c>
      <c r="B681" s="21" t="s">
        <v>113</v>
      </c>
      <c r="C681" s="21" t="s">
        <v>112</v>
      </c>
      <c r="D681" s="6" t="s">
        <v>65</v>
      </c>
      <c r="E681" s="6">
        <v>3804032</v>
      </c>
      <c r="F681" s="6" t="s">
        <v>37</v>
      </c>
      <c r="G681" s="6" t="s">
        <v>5</v>
      </c>
      <c r="H681" s="6" t="s">
        <v>40</v>
      </c>
      <c r="I681" s="23">
        <v>12305.22</v>
      </c>
      <c r="J681" s="23">
        <v>7759.6</v>
      </c>
      <c r="K681" s="23">
        <v>719</v>
      </c>
      <c r="L681" s="23"/>
      <c r="M681" s="23">
        <f>3095.73-98</f>
        <v>2997.73</v>
      </c>
      <c r="N681" s="23">
        <v>0</v>
      </c>
      <c r="O681" s="23">
        <f>+Table24[[#This Row],[FoodcostBlueline]]+Table24[[#This Row],[Pepsico]]</f>
        <v>2997.73</v>
      </c>
      <c r="P681" s="24">
        <f t="shared" si="28"/>
        <v>0.24361449856239872</v>
      </c>
      <c r="Q681" s="24"/>
      <c r="R681" s="23">
        <f>1350+850+200</f>
        <v>2400</v>
      </c>
      <c r="S681" s="25">
        <f t="shared" si="29"/>
        <v>0.1950391784949802</v>
      </c>
      <c r="T681" s="36"/>
      <c r="U681" s="36">
        <f>Table24[[#This Row],[WagesPercent]]+Table24[[#This Row],[FoodCostPercent]]</f>
        <v>0.4386536770573789</v>
      </c>
      <c r="V681" s="36"/>
    </row>
    <row r="682" spans="1:22" x14ac:dyDescent="0.25">
      <c r="A682" s="20">
        <v>681</v>
      </c>
      <c r="B682" s="21" t="s">
        <v>113</v>
      </c>
      <c r="C682" s="21" t="s">
        <v>112</v>
      </c>
      <c r="D682" s="6" t="s">
        <v>65</v>
      </c>
      <c r="E682" s="6">
        <v>3804033</v>
      </c>
      <c r="F682" s="6" t="s">
        <v>38</v>
      </c>
      <c r="G682" s="6" t="s">
        <v>5</v>
      </c>
      <c r="H682" s="6" t="s">
        <v>40</v>
      </c>
      <c r="I682" s="23">
        <v>8185.3</v>
      </c>
      <c r="J682" s="23">
        <v>9046.07</v>
      </c>
      <c r="K682" s="23">
        <v>606</v>
      </c>
      <c r="L682" s="23"/>
      <c r="M682" s="23">
        <f>2540.23-12.35-42</f>
        <v>2485.88</v>
      </c>
      <c r="N682" s="23">
        <v>0</v>
      </c>
      <c r="O682" s="23">
        <f>+Table24[[#This Row],[FoodcostBlueline]]+Table24[[#This Row],[Pepsico]]</f>
        <v>2485.88</v>
      </c>
      <c r="P682" s="24">
        <f t="shared" si="28"/>
        <v>0.30370053632731847</v>
      </c>
      <c r="Q682" s="24"/>
      <c r="R682" s="23">
        <f>1495.12+850+165.58</f>
        <v>2510.6999999999998</v>
      </c>
      <c r="S682" s="25">
        <f t="shared" si="29"/>
        <v>0.30673280148559001</v>
      </c>
      <c r="T682" s="36"/>
      <c r="U682" s="36">
        <f>Table24[[#This Row],[WagesPercent]]+Table24[[#This Row],[FoodCostPercent]]</f>
        <v>0.61043333781290854</v>
      </c>
      <c r="V682" s="36"/>
    </row>
    <row r="683" spans="1:22" x14ac:dyDescent="0.25">
      <c r="A683" s="20">
        <v>682</v>
      </c>
      <c r="B683" s="21" t="s">
        <v>113</v>
      </c>
      <c r="C683" s="21" t="s">
        <v>112</v>
      </c>
      <c r="D683" s="6" t="s">
        <v>65</v>
      </c>
      <c r="E683" s="6">
        <v>3804034</v>
      </c>
      <c r="F683" s="6" t="s">
        <v>53</v>
      </c>
      <c r="G683" s="6" t="s">
        <v>79</v>
      </c>
      <c r="H683" s="6" t="s">
        <v>41</v>
      </c>
      <c r="I683" s="23">
        <v>9510.2900000000009</v>
      </c>
      <c r="J683" s="23">
        <v>11704.6</v>
      </c>
      <c r="K683" s="23">
        <v>547</v>
      </c>
      <c r="L683" s="23"/>
      <c r="M683" s="23">
        <f>2339.38-74.88-14</f>
        <v>2250.5</v>
      </c>
      <c r="N683" s="23">
        <v>179.69</v>
      </c>
      <c r="O683" s="23">
        <f>+Table24[[#This Row],[FoodcostBlueline]]+Table24[[#This Row],[Pepsico]]</f>
        <v>2430.19</v>
      </c>
      <c r="P683" s="24">
        <f t="shared" si="28"/>
        <v>0.25553269143212243</v>
      </c>
      <c r="Q683" s="24"/>
      <c r="R683" s="23">
        <v>2400</v>
      </c>
      <c r="S683" s="25">
        <f t="shared" si="29"/>
        <v>0.25235823513268257</v>
      </c>
      <c r="T683" s="36"/>
      <c r="U683" s="36">
        <f>Table24[[#This Row],[WagesPercent]]+Table24[[#This Row],[FoodCostPercent]]</f>
        <v>0.50789092656480506</v>
      </c>
      <c r="V683" s="36"/>
    </row>
    <row r="684" spans="1:22" x14ac:dyDescent="0.25">
      <c r="A684" s="20">
        <v>683</v>
      </c>
      <c r="B684" s="21" t="s">
        <v>114</v>
      </c>
      <c r="C684" s="21" t="s">
        <v>112</v>
      </c>
      <c r="D684" s="6" t="s">
        <v>66</v>
      </c>
      <c r="E684" s="6">
        <v>3804001</v>
      </c>
      <c r="F684" s="6" t="s">
        <v>4</v>
      </c>
      <c r="G684" s="6" t="s">
        <v>5</v>
      </c>
      <c r="H684" s="6" t="s">
        <v>40</v>
      </c>
      <c r="I684" s="23">
        <v>27379.21</v>
      </c>
      <c r="J684" s="16">
        <v>27874.46</v>
      </c>
      <c r="K684" s="23">
        <v>1737</v>
      </c>
      <c r="L684" s="23"/>
      <c r="M684" s="23">
        <v>7534.5</v>
      </c>
      <c r="N684" s="23">
        <v>760.24</v>
      </c>
      <c r="O684" s="23">
        <f>+Table24[[#This Row],[FoodcostBlueline]]+Table24[[#This Row],[Pepsico]]</f>
        <v>8294.74</v>
      </c>
      <c r="P684" s="24">
        <f t="shared" si="28"/>
        <v>0.30295760907637581</v>
      </c>
      <c r="Q684" s="24"/>
      <c r="R684" s="23">
        <f>5948.84+165.58</f>
        <v>6114.42</v>
      </c>
      <c r="S684" s="25">
        <f t="shared" si="29"/>
        <v>0.22332346331395245</v>
      </c>
      <c r="T684" s="36"/>
      <c r="U684" s="36">
        <f>Table24[[#This Row],[WagesPercent]]+Table24[[#This Row],[FoodCostPercent]]</f>
        <v>0.52628107239032829</v>
      </c>
      <c r="V684" s="36"/>
    </row>
    <row r="685" spans="1:22" x14ac:dyDescent="0.25">
      <c r="A685" s="20">
        <v>684</v>
      </c>
      <c r="B685" s="21" t="s">
        <v>114</v>
      </c>
      <c r="C685" s="21" t="s">
        <v>112</v>
      </c>
      <c r="D685" s="6" t="s">
        <v>66</v>
      </c>
      <c r="E685" s="6">
        <v>3804002</v>
      </c>
      <c r="F685" s="6" t="s">
        <v>6</v>
      </c>
      <c r="G685" s="6" t="s">
        <v>7</v>
      </c>
      <c r="H685" s="6" t="s">
        <v>41</v>
      </c>
      <c r="I685" s="23">
        <v>14019.81</v>
      </c>
      <c r="J685" s="16">
        <v>14875.24</v>
      </c>
      <c r="K685" s="23">
        <v>1059</v>
      </c>
      <c r="L685" s="23"/>
      <c r="M685" s="23">
        <v>3441.52</v>
      </c>
      <c r="N685" s="23">
        <v>782.56</v>
      </c>
      <c r="O685" s="23">
        <f>+Table24[[#This Row],[FoodcostBlueline]]+Table24[[#This Row],[Pepsico]]</f>
        <v>4224.08</v>
      </c>
      <c r="P685" s="24">
        <f t="shared" si="28"/>
        <v>0.30129366945771735</v>
      </c>
      <c r="Q685" s="24"/>
      <c r="R685" s="23">
        <v>3335.28</v>
      </c>
      <c r="S685" s="25">
        <f t="shared" si="29"/>
        <v>0.23789766052464337</v>
      </c>
      <c r="T685" s="36"/>
      <c r="U685" s="36">
        <f>Table24[[#This Row],[WagesPercent]]+Table24[[#This Row],[FoodCostPercent]]</f>
        <v>0.53919132998236075</v>
      </c>
      <c r="V685" s="36"/>
    </row>
    <row r="686" spans="1:22" x14ac:dyDescent="0.25">
      <c r="A686" s="20">
        <v>685</v>
      </c>
      <c r="B686" s="21" t="s">
        <v>114</v>
      </c>
      <c r="C686" s="21" t="s">
        <v>112</v>
      </c>
      <c r="D686" s="6" t="s">
        <v>66</v>
      </c>
      <c r="E686" s="6">
        <v>3804003</v>
      </c>
      <c r="F686" s="6" t="s">
        <v>8</v>
      </c>
      <c r="G686" s="6" t="s">
        <v>7</v>
      </c>
      <c r="H686" s="6" t="s">
        <v>41</v>
      </c>
      <c r="I686" s="23">
        <v>11854.77</v>
      </c>
      <c r="J686" s="16">
        <v>9867.27</v>
      </c>
      <c r="K686" s="23">
        <v>770</v>
      </c>
      <c r="L686" s="23"/>
      <c r="M686" s="23">
        <v>4177.3900000000003</v>
      </c>
      <c r="N686" s="23">
        <v>0</v>
      </c>
      <c r="O686" s="23">
        <f>+Table24[[#This Row],[FoodcostBlueline]]+Table24[[#This Row],[Pepsico]]</f>
        <v>4177.3900000000003</v>
      </c>
      <c r="P686" s="24">
        <f t="shared" si="28"/>
        <v>0.352380518559196</v>
      </c>
      <c r="Q686" s="24"/>
      <c r="R686" s="23">
        <v>3316.48</v>
      </c>
      <c r="S686" s="25">
        <f t="shared" si="29"/>
        <v>0.27975911805965026</v>
      </c>
      <c r="T686" s="36"/>
      <c r="U686" s="36">
        <f>Table24[[#This Row],[WagesPercent]]+Table24[[#This Row],[FoodCostPercent]]</f>
        <v>0.63213963661884631</v>
      </c>
      <c r="V686" s="36"/>
    </row>
    <row r="687" spans="1:22" x14ac:dyDescent="0.25">
      <c r="A687" s="20">
        <v>686</v>
      </c>
      <c r="B687" s="21" t="s">
        <v>114</v>
      </c>
      <c r="C687" s="21" t="s">
        <v>112</v>
      </c>
      <c r="D687" s="6" t="s">
        <v>66</v>
      </c>
      <c r="E687" s="6">
        <v>3804004</v>
      </c>
      <c r="F687" s="6" t="s">
        <v>9</v>
      </c>
      <c r="G687" s="6" t="s">
        <v>7</v>
      </c>
      <c r="H687" s="6" t="s">
        <v>41</v>
      </c>
      <c r="I687" s="23">
        <v>16461.21</v>
      </c>
      <c r="J687" s="16">
        <v>15279.7</v>
      </c>
      <c r="K687" s="23">
        <v>1071</v>
      </c>
      <c r="L687" s="23"/>
      <c r="M687" s="23">
        <f>119.9+47.06+4878.81</f>
        <v>5045.7700000000004</v>
      </c>
      <c r="N687" s="23">
        <v>742.89</v>
      </c>
      <c r="O687" s="23">
        <f>+Table24[[#This Row],[FoodcostBlueline]]+Table24[[#This Row],[Pepsico]]</f>
        <v>5788.6600000000008</v>
      </c>
      <c r="P687" s="24">
        <f t="shared" si="28"/>
        <v>0.35165458675273575</v>
      </c>
      <c r="Q687" s="24"/>
      <c r="R687" s="23">
        <v>3905.97</v>
      </c>
      <c r="S687" s="25">
        <f t="shared" si="29"/>
        <v>0.23728328597958473</v>
      </c>
      <c r="T687" s="36"/>
      <c r="U687" s="36">
        <f>Table24[[#This Row],[WagesPercent]]+Table24[[#This Row],[FoodCostPercent]]</f>
        <v>0.58893787273232046</v>
      </c>
      <c r="V687" s="36"/>
    </row>
    <row r="688" spans="1:22" x14ac:dyDescent="0.25">
      <c r="A688" s="20">
        <v>687</v>
      </c>
      <c r="B688" s="21" t="s">
        <v>114</v>
      </c>
      <c r="C688" s="21" t="s">
        <v>112</v>
      </c>
      <c r="D688" s="6" t="s">
        <v>66</v>
      </c>
      <c r="E688" s="6">
        <v>3804005</v>
      </c>
      <c r="F688" s="6" t="s">
        <v>10</v>
      </c>
      <c r="G688" s="6" t="s">
        <v>7</v>
      </c>
      <c r="H688" s="6" t="s">
        <v>41</v>
      </c>
      <c r="I688" s="23">
        <v>15900.34</v>
      </c>
      <c r="J688" s="16">
        <v>14991.92</v>
      </c>
      <c r="K688" s="23">
        <v>1067</v>
      </c>
      <c r="L688" s="23"/>
      <c r="M688" s="23">
        <f>4156.53+532.42</f>
        <v>4688.95</v>
      </c>
      <c r="N688" s="23">
        <v>611.76</v>
      </c>
      <c r="O688" s="23">
        <f>+Table24[[#This Row],[FoodcostBlueline]]+Table24[[#This Row],[Pepsico]]</f>
        <v>5300.71</v>
      </c>
      <c r="P688" s="24">
        <f t="shared" si="28"/>
        <v>0.33337085873635408</v>
      </c>
      <c r="Q688" s="24"/>
      <c r="R688" s="23">
        <v>2933.39</v>
      </c>
      <c r="S688" s="25">
        <f t="shared" si="29"/>
        <v>0.18448599212343886</v>
      </c>
      <c r="T688" s="36"/>
      <c r="U688" s="36">
        <f>Table24[[#This Row],[WagesPercent]]+Table24[[#This Row],[FoodCostPercent]]</f>
        <v>0.51785685085979294</v>
      </c>
      <c r="V688" s="36"/>
    </row>
    <row r="689" spans="1:22" x14ac:dyDescent="0.25">
      <c r="A689" s="20">
        <v>688</v>
      </c>
      <c r="B689" s="21" t="s">
        <v>114</v>
      </c>
      <c r="C689" s="21" t="s">
        <v>112</v>
      </c>
      <c r="D689" s="6" t="s">
        <v>66</v>
      </c>
      <c r="E689" s="6">
        <v>3804006</v>
      </c>
      <c r="F689" s="6" t="s">
        <v>11</v>
      </c>
      <c r="G689" s="6" t="s">
        <v>7</v>
      </c>
      <c r="H689" s="6" t="s">
        <v>41</v>
      </c>
      <c r="I689" s="23">
        <v>8648.73</v>
      </c>
      <c r="J689" s="16">
        <v>10309.01</v>
      </c>
      <c r="K689" s="23">
        <v>634</v>
      </c>
      <c r="L689" s="23"/>
      <c r="M689" s="23">
        <f>2771.39+184.81</f>
        <v>2956.2</v>
      </c>
      <c r="N689" s="23">
        <v>517.20000000000005</v>
      </c>
      <c r="O689" s="23">
        <f>+Table24[[#This Row],[FoodcostBlueline]]+Table24[[#This Row],[Pepsico]]</f>
        <v>3473.3999999999996</v>
      </c>
      <c r="P689" s="24">
        <f t="shared" si="28"/>
        <v>0.40160809737383407</v>
      </c>
      <c r="Q689" s="24"/>
      <c r="R689" s="23">
        <v>1936.89</v>
      </c>
      <c r="S689" s="25">
        <f t="shared" si="29"/>
        <v>0.22395079971279022</v>
      </c>
      <c r="T689" s="36"/>
      <c r="U689" s="36">
        <f>Table24[[#This Row],[WagesPercent]]+Table24[[#This Row],[FoodCostPercent]]</f>
        <v>0.62555889708662427</v>
      </c>
      <c r="V689" s="36"/>
    </row>
    <row r="690" spans="1:22" x14ac:dyDescent="0.25">
      <c r="A690" s="20">
        <v>689</v>
      </c>
      <c r="B690" s="21" t="s">
        <v>114</v>
      </c>
      <c r="C690" s="21" t="s">
        <v>112</v>
      </c>
      <c r="D690" s="6" t="s">
        <v>66</v>
      </c>
      <c r="E690" s="6">
        <v>3804008</v>
      </c>
      <c r="F690" s="6" t="s">
        <v>12</v>
      </c>
      <c r="G690" s="6" t="s">
        <v>42</v>
      </c>
      <c r="H690" s="6" t="s">
        <v>41</v>
      </c>
      <c r="I690" s="23">
        <v>21849.21</v>
      </c>
      <c r="J690" s="16">
        <v>22282.26</v>
      </c>
      <c r="K690" s="23">
        <v>1326</v>
      </c>
      <c r="L690" s="23"/>
      <c r="M690" s="23">
        <f>5454.15-24.76</f>
        <v>5429.3899999999994</v>
      </c>
      <c r="N690" s="23">
        <v>707.08</v>
      </c>
      <c r="O690" s="23">
        <f>+Table24[[#This Row],[FoodcostBlueline]]+Table24[[#This Row],[Pepsico]]</f>
        <v>6136.4699999999993</v>
      </c>
      <c r="P690" s="24">
        <f t="shared" si="28"/>
        <v>0.28085546342407802</v>
      </c>
      <c r="Q690" s="24"/>
      <c r="R690" s="23">
        <v>4746</v>
      </c>
      <c r="S690" s="25">
        <f t="shared" si="29"/>
        <v>0.21721609156578203</v>
      </c>
      <c r="T690" s="36"/>
      <c r="U690" s="36">
        <f>Table24[[#This Row],[WagesPercent]]+Table24[[#This Row],[FoodCostPercent]]</f>
        <v>0.49807155498986005</v>
      </c>
      <c r="V690" s="36"/>
    </row>
    <row r="691" spans="1:22" x14ac:dyDescent="0.25">
      <c r="A691" s="20">
        <v>690</v>
      </c>
      <c r="B691" s="21" t="s">
        <v>114</v>
      </c>
      <c r="C691" s="21" t="s">
        <v>112</v>
      </c>
      <c r="D691" s="6" t="s">
        <v>66</v>
      </c>
      <c r="E691" s="6">
        <v>3804009</v>
      </c>
      <c r="F691" s="6" t="s">
        <v>13</v>
      </c>
      <c r="G691" s="6" t="s">
        <v>42</v>
      </c>
      <c r="H691" s="6" t="s">
        <v>41</v>
      </c>
      <c r="I691" s="23">
        <v>17093.509999999998</v>
      </c>
      <c r="J691" s="16">
        <v>16147.7</v>
      </c>
      <c r="K691" s="23">
        <v>1000</v>
      </c>
      <c r="L691" s="23"/>
      <c r="M691" s="23">
        <v>4563.5600000000004</v>
      </c>
      <c r="N691" s="23">
        <v>534.96</v>
      </c>
      <c r="O691" s="23">
        <f>+Table24[[#This Row],[FoodcostBlueline]]+Table24[[#This Row],[Pepsico]]</f>
        <v>5098.5200000000004</v>
      </c>
      <c r="P691" s="24">
        <f t="shared" si="28"/>
        <v>0.29827226824683761</v>
      </c>
      <c r="Q691" s="24"/>
      <c r="R691" s="23">
        <f>525+2964</f>
        <v>3489</v>
      </c>
      <c r="S691" s="25">
        <f t="shared" si="29"/>
        <v>0.20411255499894407</v>
      </c>
      <c r="T691" s="36"/>
      <c r="U691" s="36">
        <f>Table24[[#This Row],[WagesPercent]]+Table24[[#This Row],[FoodCostPercent]]</f>
        <v>0.50238482324578171</v>
      </c>
      <c r="V691" s="36"/>
    </row>
    <row r="692" spans="1:22" x14ac:dyDescent="0.25">
      <c r="A692" s="20">
        <v>691</v>
      </c>
      <c r="B692" s="21" t="s">
        <v>114</v>
      </c>
      <c r="C692" s="21" t="s">
        <v>112</v>
      </c>
      <c r="D692" s="6" t="s">
        <v>66</v>
      </c>
      <c r="E692" s="6">
        <v>3804010</v>
      </c>
      <c r="F692" s="6" t="s">
        <v>14</v>
      </c>
      <c r="G692" s="6" t="s">
        <v>42</v>
      </c>
      <c r="H692" s="6" t="s">
        <v>41</v>
      </c>
      <c r="I692" s="23">
        <v>7650.66</v>
      </c>
      <c r="J692" s="16">
        <v>9445.15</v>
      </c>
      <c r="K692" s="23">
        <v>437</v>
      </c>
      <c r="L692" s="23"/>
      <c r="M692" s="23">
        <v>2348.5700000000002</v>
      </c>
      <c r="N692" s="23">
        <v>282.33</v>
      </c>
      <c r="O692" s="23">
        <f>+Table24[[#This Row],[FoodcostBlueline]]+Table24[[#This Row],[Pepsico]]</f>
        <v>2630.9</v>
      </c>
      <c r="P692" s="24">
        <f t="shared" si="28"/>
        <v>0.34387882875464343</v>
      </c>
      <c r="Q692" s="24"/>
      <c r="R692" s="23">
        <v>1300</v>
      </c>
      <c r="S692" s="25">
        <f t="shared" si="29"/>
        <v>0.16991998075982986</v>
      </c>
      <c r="T692" s="36"/>
      <c r="U692" s="36">
        <f>Table24[[#This Row],[WagesPercent]]+Table24[[#This Row],[FoodCostPercent]]</f>
        <v>0.51379880951447332</v>
      </c>
      <c r="V692" s="36"/>
    </row>
    <row r="693" spans="1:22" x14ac:dyDescent="0.25">
      <c r="A693" s="20">
        <v>692</v>
      </c>
      <c r="B693" s="21" t="s">
        <v>114</v>
      </c>
      <c r="C693" s="21" t="s">
        <v>112</v>
      </c>
      <c r="D693" s="6" t="s">
        <v>66</v>
      </c>
      <c r="E693" s="6">
        <v>3804011</v>
      </c>
      <c r="F693" s="6" t="s">
        <v>15</v>
      </c>
      <c r="G693" s="6" t="s">
        <v>79</v>
      </c>
      <c r="H693" s="6" t="s">
        <v>41</v>
      </c>
      <c r="I693" s="23">
        <v>30403.68</v>
      </c>
      <c r="J693" s="16">
        <v>22200.85</v>
      </c>
      <c r="K693" s="23">
        <v>1922</v>
      </c>
      <c r="L693" s="23"/>
      <c r="M693" s="23">
        <v>7929.24</v>
      </c>
      <c r="N693" s="23">
        <v>676.92</v>
      </c>
      <c r="O693" s="23">
        <f>+Table24[[#This Row],[FoodcostBlueline]]+Table24[[#This Row],[Pepsico]]</f>
        <v>8606.16</v>
      </c>
      <c r="P693" s="24">
        <f t="shared" si="28"/>
        <v>0.28306310288754516</v>
      </c>
      <c r="Q693" s="24"/>
      <c r="R693" s="23">
        <f>3950.63+650</f>
        <v>4600.63</v>
      </c>
      <c r="S693" s="25">
        <f t="shared" si="29"/>
        <v>0.15131819569210042</v>
      </c>
      <c r="T693" s="36"/>
      <c r="U693" s="36">
        <f>Table24[[#This Row],[WagesPercent]]+Table24[[#This Row],[FoodCostPercent]]</f>
        <v>0.43438129857964558</v>
      </c>
      <c r="V693" s="36"/>
    </row>
    <row r="694" spans="1:22" x14ac:dyDescent="0.25">
      <c r="A694" s="20">
        <v>693</v>
      </c>
      <c r="B694" s="21" t="s">
        <v>114</v>
      </c>
      <c r="C694" s="21" t="s">
        <v>112</v>
      </c>
      <c r="D694" s="6" t="s">
        <v>66</v>
      </c>
      <c r="E694" s="6">
        <v>3804013</v>
      </c>
      <c r="F694" s="6" t="s">
        <v>17</v>
      </c>
      <c r="G694" s="6" t="s">
        <v>79</v>
      </c>
      <c r="H694" s="6" t="s">
        <v>41</v>
      </c>
      <c r="I694" s="23">
        <v>9860.2800000000007</v>
      </c>
      <c r="J694" s="16">
        <v>8946.7900000000009</v>
      </c>
      <c r="K694" s="23">
        <v>570</v>
      </c>
      <c r="L694" s="23"/>
      <c r="M694" s="23">
        <f>2824.86-12.35</f>
        <v>2812.51</v>
      </c>
      <c r="N694" s="23">
        <v>202.84</v>
      </c>
      <c r="O694" s="23">
        <f>+Table24[[#This Row],[FoodcostBlueline]]+Table24[[#This Row],[Pepsico]]</f>
        <v>3015.3500000000004</v>
      </c>
      <c r="P694" s="24">
        <f t="shared" si="28"/>
        <v>0.30580774582466219</v>
      </c>
      <c r="Q694" s="24"/>
      <c r="R694" s="23">
        <v>2209.64</v>
      </c>
      <c r="S694" s="25">
        <f t="shared" si="29"/>
        <v>0.22409505612416683</v>
      </c>
      <c r="T694" s="36"/>
      <c r="U694" s="36">
        <f>Table24[[#This Row],[WagesPercent]]+Table24[[#This Row],[FoodCostPercent]]</f>
        <v>0.52990280194882899</v>
      </c>
      <c r="V694" s="36"/>
    </row>
    <row r="695" spans="1:22" x14ac:dyDescent="0.25">
      <c r="A695" s="20">
        <v>694</v>
      </c>
      <c r="B695" s="21" t="s">
        <v>114</v>
      </c>
      <c r="C695" s="21" t="s">
        <v>112</v>
      </c>
      <c r="D695" s="6" t="s">
        <v>66</v>
      </c>
      <c r="E695" s="6">
        <v>3804014</v>
      </c>
      <c r="F695" s="6" t="s">
        <v>18</v>
      </c>
      <c r="G695" s="6" t="s">
        <v>79</v>
      </c>
      <c r="H695" s="6" t="s">
        <v>41</v>
      </c>
      <c r="I695" s="23">
        <v>8013.1</v>
      </c>
      <c r="J695" s="16">
        <v>8854.52</v>
      </c>
      <c r="K695" s="23">
        <v>472</v>
      </c>
      <c r="L695" s="23"/>
      <c r="M695" s="23">
        <v>2480.79</v>
      </c>
      <c r="N695" s="23">
        <v>212.4</v>
      </c>
      <c r="O695" s="23">
        <f>+Table24[[#This Row],[FoodcostBlueline]]+Table24[[#This Row],[Pepsico]]</f>
        <v>2693.19</v>
      </c>
      <c r="P695" s="24">
        <f t="shared" si="28"/>
        <v>0.3360983888881956</v>
      </c>
      <c r="Q695" s="24"/>
      <c r="R695" s="23">
        <f>2660.65+100</f>
        <v>2760.65</v>
      </c>
      <c r="S695" s="25">
        <f t="shared" si="29"/>
        <v>0.34451710324343887</v>
      </c>
      <c r="T695" s="36"/>
      <c r="U695" s="36">
        <f>Table24[[#This Row],[WagesPercent]]+Table24[[#This Row],[FoodCostPercent]]</f>
        <v>0.68061549213163453</v>
      </c>
      <c r="V695" s="36"/>
    </row>
    <row r="696" spans="1:22" x14ac:dyDescent="0.25">
      <c r="A696" s="20">
        <v>695</v>
      </c>
      <c r="B696" s="21" t="s">
        <v>114</v>
      </c>
      <c r="C696" s="21" t="s">
        <v>112</v>
      </c>
      <c r="D696" s="6" t="s">
        <v>66</v>
      </c>
      <c r="E696" s="6">
        <v>3804015</v>
      </c>
      <c r="F696" s="6" t="s">
        <v>19</v>
      </c>
      <c r="G696" s="6" t="s">
        <v>20</v>
      </c>
      <c r="H696" s="6" t="s">
        <v>41</v>
      </c>
      <c r="I696" s="23">
        <v>15471.71</v>
      </c>
      <c r="J696" s="16">
        <v>17122.099999999999</v>
      </c>
      <c r="K696" s="23">
        <v>956</v>
      </c>
      <c r="L696" s="23"/>
      <c r="M696" s="23">
        <v>4719.82</v>
      </c>
      <c r="N696" s="23">
        <v>306.87</v>
      </c>
      <c r="O696" s="23">
        <f>+Table24[[#This Row],[FoodcostBlueline]]+Table24[[#This Row],[Pepsico]]</f>
        <v>5026.6899999999996</v>
      </c>
      <c r="P696" s="24">
        <f t="shared" si="28"/>
        <v>0.32489556745828352</v>
      </c>
      <c r="Q696" s="24"/>
      <c r="R696" s="23">
        <v>3544.75</v>
      </c>
      <c r="S696" s="25">
        <f t="shared" si="29"/>
        <v>0.22911171421904886</v>
      </c>
      <c r="T696" s="36"/>
      <c r="U696" s="36">
        <f>Table24[[#This Row],[WagesPercent]]+Table24[[#This Row],[FoodCostPercent]]</f>
        <v>0.55400728167733237</v>
      </c>
      <c r="V696" s="36"/>
    </row>
    <row r="697" spans="1:22" x14ac:dyDescent="0.25">
      <c r="A697" s="20">
        <v>696</v>
      </c>
      <c r="B697" s="21" t="s">
        <v>114</v>
      </c>
      <c r="C697" s="21" t="s">
        <v>112</v>
      </c>
      <c r="D697" s="6" t="s">
        <v>66</v>
      </c>
      <c r="E697" s="6">
        <v>3804016</v>
      </c>
      <c r="F697" s="6" t="s">
        <v>21</v>
      </c>
      <c r="G697" s="6" t="s">
        <v>22</v>
      </c>
      <c r="H697" s="6" t="s">
        <v>40</v>
      </c>
      <c r="I697" s="23">
        <v>12481.25</v>
      </c>
      <c r="J697" s="16">
        <v>15430.83</v>
      </c>
      <c r="K697" s="23">
        <v>747</v>
      </c>
      <c r="L697" s="23"/>
      <c r="M697" s="23">
        <v>3855.31</v>
      </c>
      <c r="N697" s="23">
        <v>287.17</v>
      </c>
      <c r="O697" s="23">
        <f>+Table24[[#This Row],[FoodcostBlueline]]+Table24[[#This Row],[Pepsico]]</f>
        <v>4142.4799999999996</v>
      </c>
      <c r="P697" s="24">
        <f t="shared" si="28"/>
        <v>0.3318962443665498</v>
      </c>
      <c r="Q697" s="24"/>
      <c r="R697" s="23">
        <v>3135.71</v>
      </c>
      <c r="S697" s="25">
        <f t="shared" si="29"/>
        <v>0.25123365047571355</v>
      </c>
      <c r="T697" s="36"/>
      <c r="U697" s="36">
        <f>Table24[[#This Row],[WagesPercent]]+Table24[[#This Row],[FoodCostPercent]]</f>
        <v>0.58312989484226341</v>
      </c>
      <c r="V697" s="36"/>
    </row>
    <row r="698" spans="1:22" x14ac:dyDescent="0.25">
      <c r="A698" s="20">
        <v>697</v>
      </c>
      <c r="B698" s="21" t="s">
        <v>114</v>
      </c>
      <c r="C698" s="21" t="s">
        <v>112</v>
      </c>
      <c r="D698" s="6" t="s">
        <v>66</v>
      </c>
      <c r="E698" s="6">
        <v>3804017</v>
      </c>
      <c r="F698" s="6" t="s">
        <v>23</v>
      </c>
      <c r="G698" s="6" t="s">
        <v>22</v>
      </c>
      <c r="H698" s="6" t="s">
        <v>40</v>
      </c>
      <c r="I698" s="23">
        <v>18459.400000000001</v>
      </c>
      <c r="J698" s="16">
        <v>17919.3</v>
      </c>
      <c r="K698" s="23">
        <v>1169</v>
      </c>
      <c r="L698" s="23"/>
      <c r="M698" s="23">
        <v>5862.22</v>
      </c>
      <c r="N698" s="23">
        <v>594.24</v>
      </c>
      <c r="O698" s="23">
        <f>+Table24[[#This Row],[FoodcostBlueline]]+Table24[[#This Row],[Pepsico]]</f>
        <v>6456.46</v>
      </c>
      <c r="P698" s="24">
        <f t="shared" si="28"/>
        <v>0.34976543116244296</v>
      </c>
      <c r="Q698" s="24"/>
      <c r="R698" s="23">
        <v>3899.36</v>
      </c>
      <c r="S698" s="25">
        <f t="shared" si="29"/>
        <v>0.21123980194372513</v>
      </c>
      <c r="T698" s="36"/>
      <c r="U698" s="36">
        <f>Table24[[#This Row],[WagesPercent]]+Table24[[#This Row],[FoodCostPercent]]</f>
        <v>0.56100523310616812</v>
      </c>
      <c r="V698" s="36"/>
    </row>
    <row r="699" spans="1:22" x14ac:dyDescent="0.25">
      <c r="A699" s="20">
        <v>698</v>
      </c>
      <c r="B699" s="21" t="s">
        <v>114</v>
      </c>
      <c r="C699" s="21" t="s">
        <v>112</v>
      </c>
      <c r="D699" s="6" t="s">
        <v>66</v>
      </c>
      <c r="E699" s="6">
        <v>3804018</v>
      </c>
      <c r="F699" s="6" t="s">
        <v>24</v>
      </c>
      <c r="G699" s="6" t="s">
        <v>20</v>
      </c>
      <c r="H699" s="6" t="s">
        <v>41</v>
      </c>
      <c r="I699" s="37">
        <v>20413.88</v>
      </c>
      <c r="J699" s="16">
        <v>20538.55</v>
      </c>
      <c r="K699" s="23">
        <v>1225</v>
      </c>
      <c r="L699" s="23"/>
      <c r="M699" s="23">
        <v>6275.79</v>
      </c>
      <c r="N699" s="23">
        <v>395.05</v>
      </c>
      <c r="O699" s="23">
        <f>+Table24[[#This Row],[FoodcostBlueline]]+Table24[[#This Row],[Pepsico]]</f>
        <v>6670.84</v>
      </c>
      <c r="P699" s="24">
        <f t="shared" si="28"/>
        <v>0.32677962249214748</v>
      </c>
      <c r="Q699" s="24"/>
      <c r="R699" s="23">
        <v>4370.63</v>
      </c>
      <c r="S699" s="25">
        <f t="shared" si="29"/>
        <v>0.2141008960569965</v>
      </c>
      <c r="T699" s="36"/>
      <c r="U699" s="36">
        <f>Table24[[#This Row],[WagesPercent]]+Table24[[#This Row],[FoodCostPercent]]</f>
        <v>0.54088051854914398</v>
      </c>
      <c r="V699" s="36"/>
    </row>
    <row r="700" spans="1:22" x14ac:dyDescent="0.25">
      <c r="A700" s="20">
        <v>699</v>
      </c>
      <c r="B700" s="21" t="s">
        <v>114</v>
      </c>
      <c r="C700" s="21" t="s">
        <v>112</v>
      </c>
      <c r="D700" s="6" t="s">
        <v>66</v>
      </c>
      <c r="E700" s="6">
        <v>3804019</v>
      </c>
      <c r="F700" s="6" t="s">
        <v>25</v>
      </c>
      <c r="G700" s="6" t="s">
        <v>20</v>
      </c>
      <c r="H700" s="6" t="s">
        <v>41</v>
      </c>
      <c r="I700" s="23">
        <v>14049.07</v>
      </c>
      <c r="J700" s="16">
        <v>13989.63</v>
      </c>
      <c r="K700" s="23">
        <v>876</v>
      </c>
      <c r="L700" s="23"/>
      <c r="M700" s="23">
        <v>4471.07</v>
      </c>
      <c r="N700" s="23">
        <v>284</v>
      </c>
      <c r="O700" s="23">
        <f>+Table24[[#This Row],[FoodcostBlueline]]+Table24[[#This Row],[Pepsico]]</f>
        <v>4755.07</v>
      </c>
      <c r="P700" s="24">
        <f t="shared" si="28"/>
        <v>0.3384615494121675</v>
      </c>
      <c r="Q700" s="24"/>
      <c r="R700" s="23">
        <v>3131.27</v>
      </c>
      <c r="S700" s="25">
        <f t="shared" si="29"/>
        <v>0.2228809451444117</v>
      </c>
      <c r="T700" s="36"/>
      <c r="U700" s="36">
        <f>Table24[[#This Row],[WagesPercent]]+Table24[[#This Row],[FoodCostPercent]]</f>
        <v>0.56134249455657925</v>
      </c>
      <c r="V700" s="36"/>
    </row>
    <row r="701" spans="1:22" x14ac:dyDescent="0.25">
      <c r="A701" s="20">
        <v>700</v>
      </c>
      <c r="B701" s="21" t="s">
        <v>114</v>
      </c>
      <c r="C701" s="21" t="s">
        <v>112</v>
      </c>
      <c r="D701" s="6" t="s">
        <v>66</v>
      </c>
      <c r="E701" s="6">
        <v>3804020</v>
      </c>
      <c r="F701" s="6" t="s">
        <v>26</v>
      </c>
      <c r="G701" s="6" t="s">
        <v>22</v>
      </c>
      <c r="H701" s="6" t="s">
        <v>40</v>
      </c>
      <c r="I701" s="23">
        <v>12311.64</v>
      </c>
      <c r="J701" s="16">
        <v>12019.19</v>
      </c>
      <c r="K701" s="23">
        <v>713</v>
      </c>
      <c r="L701" s="23"/>
      <c r="M701" s="23">
        <f>3210.85-12.35</f>
        <v>3198.5</v>
      </c>
      <c r="N701" s="23">
        <v>191.26</v>
      </c>
      <c r="O701" s="23">
        <f>+Table24[[#This Row],[FoodcostBlueline]]+Table24[[#This Row],[Pepsico]]</f>
        <v>3389.76</v>
      </c>
      <c r="P701" s="24">
        <f t="shared" si="28"/>
        <v>0.27532968800257318</v>
      </c>
      <c r="Q701" s="24"/>
      <c r="R701" s="23">
        <v>3146.24</v>
      </c>
      <c r="S701" s="25">
        <f t="shared" si="29"/>
        <v>0.25555003232713108</v>
      </c>
      <c r="T701" s="36"/>
      <c r="U701" s="36">
        <f>Table24[[#This Row],[WagesPercent]]+Table24[[#This Row],[FoodCostPercent]]</f>
        <v>0.53087972032970421</v>
      </c>
      <c r="V701" s="36"/>
    </row>
    <row r="702" spans="1:22" x14ac:dyDescent="0.25">
      <c r="A702" s="20">
        <v>701</v>
      </c>
      <c r="B702" s="21" t="s">
        <v>114</v>
      </c>
      <c r="C702" s="21" t="s">
        <v>112</v>
      </c>
      <c r="D702" s="6" t="s">
        <v>66</v>
      </c>
      <c r="E702" s="6">
        <v>3804021</v>
      </c>
      <c r="F702" s="6" t="s">
        <v>27</v>
      </c>
      <c r="G702" s="6" t="s">
        <v>22</v>
      </c>
      <c r="H702" s="6" t="s">
        <v>40</v>
      </c>
      <c r="I702" s="23">
        <v>19091.63</v>
      </c>
      <c r="J702" s="16">
        <v>24517.360000000001</v>
      </c>
      <c r="K702" s="23">
        <v>1174</v>
      </c>
      <c r="L702" s="23"/>
      <c r="M702" s="23">
        <f>36.74+863.13+11.5+9141.98</f>
        <v>10053.35</v>
      </c>
      <c r="N702" s="23">
        <v>0</v>
      </c>
      <c r="O702" s="23">
        <f>+Table24[[#This Row],[FoodcostBlueline]]+Table24[[#This Row],[Pepsico]]</f>
        <v>10053.35</v>
      </c>
      <c r="P702" s="24">
        <f t="shared" si="28"/>
        <v>0.52658416279804288</v>
      </c>
      <c r="Q702" s="24"/>
      <c r="R702" s="23">
        <v>4098.8500000000004</v>
      </c>
      <c r="S702" s="25">
        <f t="shared" si="29"/>
        <v>0.21469355942892251</v>
      </c>
      <c r="T702" s="36"/>
      <c r="U702" s="36">
        <f>Table24[[#This Row],[WagesPercent]]+Table24[[#This Row],[FoodCostPercent]]</f>
        <v>0.74127772222696542</v>
      </c>
      <c r="V702" s="36"/>
    </row>
    <row r="703" spans="1:22" x14ac:dyDescent="0.25">
      <c r="A703" s="20">
        <v>702</v>
      </c>
      <c r="B703" s="21" t="s">
        <v>114</v>
      </c>
      <c r="C703" s="21" t="s">
        <v>112</v>
      </c>
      <c r="D703" s="6" t="s">
        <v>66</v>
      </c>
      <c r="E703" s="6">
        <v>3804022</v>
      </c>
      <c r="F703" s="6" t="s">
        <v>28</v>
      </c>
      <c r="G703" s="6" t="s">
        <v>22</v>
      </c>
      <c r="H703" s="6" t="s">
        <v>40</v>
      </c>
      <c r="I703" s="23">
        <v>13325.28</v>
      </c>
      <c r="J703" s="16">
        <v>15713.58</v>
      </c>
      <c r="K703" s="23">
        <v>807</v>
      </c>
      <c r="L703" s="23"/>
      <c r="M703" s="23">
        <f>3705.14-37.05+36.33</f>
        <v>3704.4199999999996</v>
      </c>
      <c r="N703" s="23">
        <v>295.67</v>
      </c>
      <c r="O703" s="23">
        <f>+Table24[[#This Row],[FoodcostBlueline]]+Table24[[#This Row],[Pepsico]]</f>
        <v>4000.0899999999997</v>
      </c>
      <c r="P703" s="24">
        <f t="shared" si="28"/>
        <v>0.30018806359040856</v>
      </c>
      <c r="Q703" s="24"/>
      <c r="R703" s="23">
        <v>2867.09</v>
      </c>
      <c r="S703" s="25">
        <f t="shared" si="29"/>
        <v>0.21516170767143356</v>
      </c>
      <c r="T703" s="36"/>
      <c r="U703" s="36">
        <f>Table24[[#This Row],[WagesPercent]]+Table24[[#This Row],[FoodCostPercent]]</f>
        <v>0.51534977126184212</v>
      </c>
      <c r="V703" s="36"/>
    </row>
    <row r="704" spans="1:22" x14ac:dyDescent="0.25">
      <c r="A704" s="20">
        <v>703</v>
      </c>
      <c r="B704" s="21" t="s">
        <v>114</v>
      </c>
      <c r="C704" s="21" t="s">
        <v>112</v>
      </c>
      <c r="D704" s="6" t="s">
        <v>66</v>
      </c>
      <c r="E704" s="6">
        <v>3804023</v>
      </c>
      <c r="F704" s="6" t="s">
        <v>29</v>
      </c>
      <c r="G704" s="6" t="s">
        <v>22</v>
      </c>
      <c r="H704" s="6" t="s">
        <v>40</v>
      </c>
      <c r="I704" s="23">
        <v>6499.63</v>
      </c>
      <c r="J704" s="16">
        <v>15866.47</v>
      </c>
      <c r="K704" s="23">
        <v>402</v>
      </c>
      <c r="L704" s="23"/>
      <c r="M704" s="23">
        <v>5415.79</v>
      </c>
      <c r="N704" s="23">
        <v>0</v>
      </c>
      <c r="O704" s="23">
        <f>+Table24[[#This Row],[FoodcostBlueline]]+Table24[[#This Row],[Pepsico]]</f>
        <v>5415.79</v>
      </c>
      <c r="P704" s="24">
        <f t="shared" si="28"/>
        <v>0.83324589245849379</v>
      </c>
      <c r="Q704" s="24"/>
      <c r="R704" s="23">
        <v>2656.32</v>
      </c>
      <c r="S704" s="25">
        <f t="shared" si="29"/>
        <v>0.40868787915619814</v>
      </c>
      <c r="T704" s="36"/>
      <c r="U704" s="36">
        <f>Table24[[#This Row],[WagesPercent]]+Table24[[#This Row],[FoodCostPercent]]</f>
        <v>1.2419337716146919</v>
      </c>
      <c r="V704" s="36"/>
    </row>
    <row r="705" spans="1:22" x14ac:dyDescent="0.25">
      <c r="A705" s="20">
        <v>704</v>
      </c>
      <c r="B705" s="21" t="s">
        <v>114</v>
      </c>
      <c r="C705" s="21" t="s">
        <v>112</v>
      </c>
      <c r="D705" s="6" t="s">
        <v>66</v>
      </c>
      <c r="E705" s="6">
        <v>3804024</v>
      </c>
      <c r="F705" s="6" t="s">
        <v>30</v>
      </c>
      <c r="G705" s="6" t="s">
        <v>20</v>
      </c>
      <c r="H705" s="6" t="s">
        <v>41</v>
      </c>
      <c r="I705" s="23">
        <v>10113.24</v>
      </c>
      <c r="J705" s="16">
        <v>13194.41</v>
      </c>
      <c r="K705" s="23">
        <v>625</v>
      </c>
      <c r="L705" s="23"/>
      <c r="M705" s="23">
        <v>3073.88</v>
      </c>
      <c r="N705" s="23">
        <v>200.32</v>
      </c>
      <c r="O705" s="23">
        <f>+Table24[[#This Row],[FoodcostBlueline]]+Table24[[#This Row],[Pepsico]]</f>
        <v>3274.2000000000003</v>
      </c>
      <c r="P705" s="24">
        <f t="shared" si="28"/>
        <v>0.32375381183478297</v>
      </c>
      <c r="Q705" s="24"/>
      <c r="R705" s="23">
        <f>2682.1+69.23</f>
        <v>2751.33</v>
      </c>
      <c r="S705" s="25">
        <f t="shared" si="29"/>
        <v>0.27205227998148962</v>
      </c>
      <c r="T705" s="36"/>
      <c r="U705" s="36">
        <f>Table24[[#This Row],[WagesPercent]]+Table24[[#This Row],[FoodCostPercent]]</f>
        <v>0.59580609181627264</v>
      </c>
      <c r="V705" s="36"/>
    </row>
    <row r="706" spans="1:22" x14ac:dyDescent="0.25">
      <c r="A706" s="20">
        <v>705</v>
      </c>
      <c r="B706" s="21" t="s">
        <v>114</v>
      </c>
      <c r="C706" s="21" t="s">
        <v>112</v>
      </c>
      <c r="D706" s="6" t="s">
        <v>66</v>
      </c>
      <c r="E706" s="6">
        <v>3804025</v>
      </c>
      <c r="F706" s="6" t="s">
        <v>31</v>
      </c>
      <c r="G706" s="6" t="s">
        <v>20</v>
      </c>
      <c r="H706" s="6" t="s">
        <v>41</v>
      </c>
      <c r="I706" s="23">
        <v>25678.04</v>
      </c>
      <c r="J706" s="16">
        <v>23759.35</v>
      </c>
      <c r="K706" s="23">
        <v>1591</v>
      </c>
      <c r="L706" s="23"/>
      <c r="M706" s="23">
        <v>8177.46</v>
      </c>
      <c r="N706" s="23">
        <v>566.70000000000005</v>
      </c>
      <c r="O706" s="23">
        <f>+Table24[[#This Row],[FoodcostBlueline]]+Table24[[#This Row],[Pepsico]]</f>
        <v>8744.16</v>
      </c>
      <c r="P706" s="24">
        <f t="shared" ref="P706:P769" si="30">IFERROR(((M706+N706)/I706),0)</f>
        <v>0.34053066355531808</v>
      </c>
      <c r="Q706" s="24"/>
      <c r="R706" s="23">
        <v>5246.14</v>
      </c>
      <c r="S706" s="25">
        <f t="shared" ref="S706:S769" si="31">+R706/I706</f>
        <v>0.20430453414668723</v>
      </c>
      <c r="T706" s="36"/>
      <c r="U706" s="36">
        <f>Table24[[#This Row],[WagesPercent]]+Table24[[#This Row],[FoodCostPercent]]</f>
        <v>0.54483519770200528</v>
      </c>
      <c r="V706" s="36"/>
    </row>
    <row r="707" spans="1:22" x14ac:dyDescent="0.25">
      <c r="A707" s="20">
        <v>706</v>
      </c>
      <c r="B707" s="21" t="s">
        <v>114</v>
      </c>
      <c r="C707" s="21" t="s">
        <v>112</v>
      </c>
      <c r="D707" s="6" t="s">
        <v>66</v>
      </c>
      <c r="E707" s="6">
        <v>3804026</v>
      </c>
      <c r="F707" s="6" t="s">
        <v>32</v>
      </c>
      <c r="G707" s="6" t="s">
        <v>79</v>
      </c>
      <c r="H707" s="6" t="s">
        <v>41</v>
      </c>
      <c r="I707" s="23">
        <v>13568.87</v>
      </c>
      <c r="J707" s="16">
        <v>12889.13</v>
      </c>
      <c r="K707" s="23">
        <v>773</v>
      </c>
      <c r="L707" s="23"/>
      <c r="M707" s="23">
        <f>2.32+3894.39-4.64+27.72</f>
        <v>3919.79</v>
      </c>
      <c r="N707" s="23">
        <v>306.47000000000003</v>
      </c>
      <c r="O707" s="23">
        <f>+Table24[[#This Row],[FoodcostBlueline]]+Table24[[#This Row],[Pepsico]]</f>
        <v>4226.26</v>
      </c>
      <c r="P707" s="24">
        <f t="shared" si="30"/>
        <v>0.31146735137119008</v>
      </c>
      <c r="Q707" s="24"/>
      <c r="R707" s="23">
        <v>3672.75</v>
      </c>
      <c r="S707" s="25">
        <f t="shared" si="31"/>
        <v>0.27067471351704303</v>
      </c>
      <c r="T707" s="36"/>
      <c r="U707" s="36">
        <f>Table24[[#This Row],[WagesPercent]]+Table24[[#This Row],[FoodCostPercent]]</f>
        <v>0.58214206488823317</v>
      </c>
      <c r="V707" s="36"/>
    </row>
    <row r="708" spans="1:22" x14ac:dyDescent="0.25">
      <c r="A708" s="20">
        <v>707</v>
      </c>
      <c r="B708" s="21" t="s">
        <v>114</v>
      </c>
      <c r="C708" s="21" t="s">
        <v>112</v>
      </c>
      <c r="D708" s="6" t="s">
        <v>66</v>
      </c>
      <c r="E708" s="6">
        <v>3804027</v>
      </c>
      <c r="F708" s="6" t="s">
        <v>33</v>
      </c>
      <c r="G708" s="6" t="s">
        <v>43</v>
      </c>
      <c r="H708" s="6" t="s">
        <v>41</v>
      </c>
      <c r="I708" s="23">
        <v>16126.09</v>
      </c>
      <c r="J708" s="16">
        <v>14761.64</v>
      </c>
      <c r="K708" s="23">
        <v>1138</v>
      </c>
      <c r="L708" s="23"/>
      <c r="M708" s="23">
        <f>5416.09+119.84</f>
        <v>5535.93</v>
      </c>
      <c r="N708" s="23">
        <v>368.67</v>
      </c>
      <c r="O708" s="23">
        <f>+Table24[[#This Row],[FoodcostBlueline]]+Table24[[#This Row],[Pepsico]]</f>
        <v>5904.6</v>
      </c>
      <c r="P708" s="24">
        <f t="shared" si="30"/>
        <v>0.36615199344664456</v>
      </c>
      <c r="Q708" s="24"/>
      <c r="R708" s="23">
        <f>1873.1+377+1600</f>
        <v>3850.1</v>
      </c>
      <c r="S708" s="25">
        <f t="shared" si="31"/>
        <v>0.23874975272989299</v>
      </c>
      <c r="T708" s="36"/>
      <c r="U708" s="36">
        <f>Table24[[#This Row],[WagesPercent]]+Table24[[#This Row],[FoodCostPercent]]</f>
        <v>0.60490174617653758</v>
      </c>
      <c r="V708" s="36"/>
    </row>
    <row r="709" spans="1:22" x14ac:dyDescent="0.25">
      <c r="A709" s="20">
        <v>708</v>
      </c>
      <c r="B709" s="21" t="s">
        <v>114</v>
      </c>
      <c r="C709" s="21" t="s">
        <v>112</v>
      </c>
      <c r="D709" s="6" t="s">
        <v>66</v>
      </c>
      <c r="E709" s="6">
        <v>3804029</v>
      </c>
      <c r="F709" s="6" t="s">
        <v>34</v>
      </c>
      <c r="G709" s="6" t="s">
        <v>79</v>
      </c>
      <c r="H709" s="6" t="s">
        <v>41</v>
      </c>
      <c r="I709" s="23">
        <v>9841.25</v>
      </c>
      <c r="J709" s="16">
        <v>10195.44</v>
      </c>
      <c r="K709" s="23">
        <v>618</v>
      </c>
      <c r="L709" s="23"/>
      <c r="M709" s="23">
        <v>2956</v>
      </c>
      <c r="N709" s="23">
        <v>292.39999999999998</v>
      </c>
      <c r="O709" s="23">
        <f>+Table24[[#This Row],[FoodcostBlueline]]+Table24[[#This Row],[Pepsico]]</f>
        <v>3248.4</v>
      </c>
      <c r="P709" s="24">
        <f t="shared" si="30"/>
        <v>0.33008002032262163</v>
      </c>
      <c r="Q709" s="24"/>
      <c r="R709" s="23">
        <f>1688.25+1210</f>
        <v>2898.25</v>
      </c>
      <c r="S709" s="25">
        <f t="shared" si="31"/>
        <v>0.29450019052457765</v>
      </c>
      <c r="T709" s="36"/>
      <c r="U709" s="36">
        <f>Table24[[#This Row],[WagesPercent]]+Table24[[#This Row],[FoodCostPercent]]</f>
        <v>0.62458021084719928</v>
      </c>
      <c r="V709" s="36"/>
    </row>
    <row r="710" spans="1:22" x14ac:dyDescent="0.25">
      <c r="A710" s="20">
        <v>709</v>
      </c>
      <c r="B710" s="21" t="s">
        <v>114</v>
      </c>
      <c r="C710" s="21" t="s">
        <v>112</v>
      </c>
      <c r="D710" s="6" t="s">
        <v>66</v>
      </c>
      <c r="E710" s="6">
        <v>3804030</v>
      </c>
      <c r="F710" s="6" t="s">
        <v>35</v>
      </c>
      <c r="G710" s="6" t="s">
        <v>5</v>
      </c>
      <c r="H710" s="6" t="s">
        <v>40</v>
      </c>
      <c r="I710" s="23">
        <v>10145.35</v>
      </c>
      <c r="J710" s="16">
        <v>9396.68</v>
      </c>
      <c r="K710" s="23">
        <v>561</v>
      </c>
      <c r="L710" s="23"/>
      <c r="M710" s="23">
        <f>99.31+2855.28</f>
        <v>2954.59</v>
      </c>
      <c r="N710" s="23">
        <v>185.92</v>
      </c>
      <c r="O710" s="23">
        <f>+Table24[[#This Row],[FoodcostBlueline]]+Table24[[#This Row],[Pepsico]]</f>
        <v>3140.51</v>
      </c>
      <c r="P710" s="24">
        <f t="shared" si="30"/>
        <v>0.30955166652702965</v>
      </c>
      <c r="Q710" s="24"/>
      <c r="R710" s="23">
        <v>2561.0700000000002</v>
      </c>
      <c r="S710" s="25">
        <f t="shared" si="31"/>
        <v>0.25243781633950529</v>
      </c>
      <c r="T710" s="36"/>
      <c r="U710" s="36">
        <f>Table24[[#This Row],[WagesPercent]]+Table24[[#This Row],[FoodCostPercent]]</f>
        <v>0.56198948286653494</v>
      </c>
      <c r="V710" s="36"/>
    </row>
    <row r="711" spans="1:22" x14ac:dyDescent="0.25">
      <c r="A711" s="20">
        <v>710</v>
      </c>
      <c r="B711" s="21" t="s">
        <v>114</v>
      </c>
      <c r="C711" s="21" t="s">
        <v>112</v>
      </c>
      <c r="D711" s="6" t="s">
        <v>66</v>
      </c>
      <c r="E711" s="6">
        <v>3804031</v>
      </c>
      <c r="F711" s="6" t="s">
        <v>36</v>
      </c>
      <c r="G711" s="6" t="s">
        <v>5</v>
      </c>
      <c r="H711" s="6" t="s">
        <v>40</v>
      </c>
      <c r="I711" s="23">
        <v>11840.4</v>
      </c>
      <c r="J711" s="16">
        <v>8947.18</v>
      </c>
      <c r="K711" s="23">
        <v>728</v>
      </c>
      <c r="L711" s="23"/>
      <c r="M711" s="23">
        <v>3275.59</v>
      </c>
      <c r="N711" s="23">
        <v>209.23</v>
      </c>
      <c r="O711" s="23">
        <f>+Table24[[#This Row],[FoodcostBlueline]]+Table24[[#This Row],[Pepsico]]</f>
        <v>3484.82</v>
      </c>
      <c r="P711" s="24">
        <f t="shared" si="30"/>
        <v>0.29431607040302693</v>
      </c>
      <c r="Q711" s="24"/>
      <c r="R711" s="37">
        <f>2012.97+650</f>
        <v>2662.9700000000003</v>
      </c>
      <c r="S711" s="25">
        <f t="shared" si="31"/>
        <v>0.22490540860106081</v>
      </c>
      <c r="T711" s="36"/>
      <c r="U711" s="36">
        <f>Table24[[#This Row],[WagesPercent]]+Table24[[#This Row],[FoodCostPercent]]</f>
        <v>0.51922147900408777</v>
      </c>
      <c r="V711" s="36"/>
    </row>
    <row r="712" spans="1:22" x14ac:dyDescent="0.25">
      <c r="A712" s="20">
        <v>711</v>
      </c>
      <c r="B712" s="21" t="s">
        <v>114</v>
      </c>
      <c r="C712" s="21" t="s">
        <v>112</v>
      </c>
      <c r="D712" s="6" t="s">
        <v>66</v>
      </c>
      <c r="E712" s="6">
        <v>3804032</v>
      </c>
      <c r="F712" s="6" t="s">
        <v>37</v>
      </c>
      <c r="G712" s="6" t="s">
        <v>5</v>
      </c>
      <c r="H712" s="6" t="s">
        <v>40</v>
      </c>
      <c r="I712" s="37">
        <v>10060.83</v>
      </c>
      <c r="J712" s="16">
        <v>6718.25</v>
      </c>
      <c r="K712" s="23">
        <v>605</v>
      </c>
      <c r="L712" s="23"/>
      <c r="M712" s="23">
        <v>3261.25</v>
      </c>
      <c r="N712" s="23">
        <v>231.98</v>
      </c>
      <c r="O712" s="23">
        <f>+Table24[[#This Row],[FoodcostBlueline]]+Table24[[#This Row],[Pepsico]]</f>
        <v>3493.23</v>
      </c>
      <c r="P712" s="24">
        <f t="shared" si="30"/>
        <v>0.34721091599798426</v>
      </c>
      <c r="Q712" s="24"/>
      <c r="R712" s="23">
        <f>1350+850+200</f>
        <v>2400</v>
      </c>
      <c r="S712" s="25">
        <f t="shared" si="31"/>
        <v>0.23854890699872675</v>
      </c>
      <c r="T712" s="36"/>
      <c r="U712" s="36">
        <f>Table24[[#This Row],[WagesPercent]]+Table24[[#This Row],[FoodCostPercent]]</f>
        <v>0.58575982299671103</v>
      </c>
      <c r="V712" s="36"/>
    </row>
    <row r="713" spans="1:22" x14ac:dyDescent="0.25">
      <c r="A713" s="20">
        <v>712</v>
      </c>
      <c r="B713" s="21" t="s">
        <v>114</v>
      </c>
      <c r="C713" s="21" t="s">
        <v>112</v>
      </c>
      <c r="D713" s="6" t="s">
        <v>66</v>
      </c>
      <c r="E713" s="6">
        <v>3804033</v>
      </c>
      <c r="F713" s="6" t="s">
        <v>38</v>
      </c>
      <c r="G713" s="6" t="s">
        <v>5</v>
      </c>
      <c r="H713" s="6" t="s">
        <v>40</v>
      </c>
      <c r="I713" s="23">
        <v>8376.52</v>
      </c>
      <c r="J713" s="16">
        <v>9684.2900000000009</v>
      </c>
      <c r="K713" s="23">
        <v>556</v>
      </c>
      <c r="L713" s="23"/>
      <c r="M713" s="23">
        <v>2135.92</v>
      </c>
      <c r="N713" s="23">
        <v>172.68</v>
      </c>
      <c r="O713" s="23">
        <f>+Table24[[#This Row],[FoodcostBlueline]]+Table24[[#This Row],[Pepsico]]</f>
        <v>2308.6</v>
      </c>
      <c r="P713" s="24">
        <f t="shared" si="30"/>
        <v>0.27560371132642192</v>
      </c>
      <c r="Q713" s="24"/>
      <c r="R713" s="23">
        <f>1844.85+850+165.58</f>
        <v>2860.43</v>
      </c>
      <c r="S713" s="25">
        <f t="shared" si="31"/>
        <v>0.34148190417977869</v>
      </c>
      <c r="T713" s="36"/>
      <c r="U713" s="36">
        <f>Table24[[#This Row],[WagesPercent]]+Table24[[#This Row],[FoodCostPercent]]</f>
        <v>0.61708561550620056</v>
      </c>
      <c r="V713" s="36"/>
    </row>
    <row r="714" spans="1:22" x14ac:dyDescent="0.25">
      <c r="A714" s="20">
        <v>713</v>
      </c>
      <c r="B714" s="21" t="s">
        <v>114</v>
      </c>
      <c r="C714" s="21" t="s">
        <v>112</v>
      </c>
      <c r="D714" s="6" t="s">
        <v>66</v>
      </c>
      <c r="E714" s="6">
        <v>3804034</v>
      </c>
      <c r="F714" s="6" t="s">
        <v>53</v>
      </c>
      <c r="G714" s="6" t="s">
        <v>79</v>
      </c>
      <c r="H714" s="6" t="s">
        <v>41</v>
      </c>
      <c r="I714" s="23">
        <v>8651.7099999999991</v>
      </c>
      <c r="J714" s="16">
        <v>10493.6</v>
      </c>
      <c r="K714" s="23">
        <v>495</v>
      </c>
      <c r="L714" s="23"/>
      <c r="M714" s="23">
        <v>2707.91</v>
      </c>
      <c r="N714" s="23">
        <v>0</v>
      </c>
      <c r="O714" s="23">
        <f>+Table24[[#This Row],[FoodcostBlueline]]+Table24[[#This Row],[Pepsico]]</f>
        <v>2707.91</v>
      </c>
      <c r="P714" s="24">
        <f t="shared" si="30"/>
        <v>0.31299130460914665</v>
      </c>
      <c r="Q714" s="24"/>
      <c r="R714" s="23">
        <v>2400</v>
      </c>
      <c r="S714" s="25">
        <f t="shared" si="31"/>
        <v>0.27740180842862283</v>
      </c>
      <c r="T714" s="36"/>
      <c r="U714" s="36">
        <f>Table24[[#This Row],[WagesPercent]]+Table24[[#This Row],[FoodCostPercent]]</f>
        <v>0.59039311303776953</v>
      </c>
      <c r="V714" s="36"/>
    </row>
    <row r="715" spans="1:22" x14ac:dyDescent="0.25">
      <c r="A715" s="20">
        <v>714</v>
      </c>
      <c r="B715" s="21" t="s">
        <v>115</v>
      </c>
      <c r="C715" s="21" t="s">
        <v>112</v>
      </c>
      <c r="D715" s="6" t="s">
        <v>67</v>
      </c>
      <c r="E715" s="6">
        <v>3804001</v>
      </c>
      <c r="F715" s="6" t="s">
        <v>4</v>
      </c>
      <c r="G715" s="6" t="s">
        <v>5</v>
      </c>
      <c r="H715" s="6" t="s">
        <v>40</v>
      </c>
      <c r="I715" s="23">
        <v>28413.98</v>
      </c>
      <c r="J715" s="16">
        <v>23955.57</v>
      </c>
      <c r="K715" s="23">
        <v>1854</v>
      </c>
      <c r="L715" s="23"/>
      <c r="M715" s="23">
        <f>7008.82+599.8+289.5</f>
        <v>7898.12</v>
      </c>
      <c r="N715" s="47">
        <v>643.95000000000005</v>
      </c>
      <c r="O715" s="23">
        <f>+Table24[[#This Row],[FoodcostBlueline]]+Table24[[#This Row],[Pepsico]]</f>
        <v>8542.07</v>
      </c>
      <c r="P715" s="24">
        <f t="shared" si="30"/>
        <v>0.30062912692977189</v>
      </c>
      <c r="Q715" s="24"/>
      <c r="R715" s="23">
        <f>6646.35+165.58</f>
        <v>6811.93</v>
      </c>
      <c r="S715" s="25">
        <f t="shared" si="31"/>
        <v>0.23973867793248255</v>
      </c>
      <c r="T715" s="36"/>
      <c r="U715" s="36">
        <f>Table24[[#This Row],[WagesPercent]]+Table24[[#This Row],[FoodCostPercent]]</f>
        <v>0.54036780486225444</v>
      </c>
      <c r="V715" s="36"/>
    </row>
    <row r="716" spans="1:22" x14ac:dyDescent="0.25">
      <c r="A716" s="20">
        <v>715</v>
      </c>
      <c r="B716" s="21" t="s">
        <v>115</v>
      </c>
      <c r="C716" s="21" t="s">
        <v>112</v>
      </c>
      <c r="D716" s="6" t="s">
        <v>67</v>
      </c>
      <c r="E716" s="6">
        <v>3804002</v>
      </c>
      <c r="F716" s="6" t="s">
        <v>6</v>
      </c>
      <c r="G716" s="6" t="s">
        <v>7</v>
      </c>
      <c r="H716" s="6" t="s">
        <v>41</v>
      </c>
      <c r="I716" s="23">
        <v>13977.5</v>
      </c>
      <c r="J716" s="16">
        <v>12578.61</v>
      </c>
      <c r="K716" s="23">
        <v>1069</v>
      </c>
      <c r="L716" s="23"/>
      <c r="M716" s="23">
        <f>3862.03+255.24</f>
        <v>4117.2700000000004</v>
      </c>
      <c r="N716" s="47">
        <v>663.62</v>
      </c>
      <c r="O716" s="23">
        <f>+Table24[[#This Row],[FoodcostBlueline]]+Table24[[#This Row],[Pepsico]]</f>
        <v>4780.8900000000003</v>
      </c>
      <c r="P716" s="24">
        <f t="shared" si="30"/>
        <v>0.34204185297800038</v>
      </c>
      <c r="Q716" s="24"/>
      <c r="R716" s="23">
        <v>3346.86</v>
      </c>
      <c r="S716" s="25">
        <f t="shared" si="31"/>
        <v>0.23944625290645682</v>
      </c>
      <c r="T716" s="36"/>
      <c r="U716" s="36">
        <f>Table24[[#This Row],[WagesPercent]]+Table24[[#This Row],[FoodCostPercent]]</f>
        <v>0.58148810588445721</v>
      </c>
      <c r="V716" s="36"/>
    </row>
    <row r="717" spans="1:22" x14ac:dyDescent="0.25">
      <c r="A717" s="20">
        <v>716</v>
      </c>
      <c r="B717" s="21" t="s">
        <v>115</v>
      </c>
      <c r="C717" s="21" t="s">
        <v>112</v>
      </c>
      <c r="D717" s="6" t="s">
        <v>67</v>
      </c>
      <c r="E717" s="6">
        <v>3804003</v>
      </c>
      <c r="F717" s="6" t="s">
        <v>8</v>
      </c>
      <c r="G717" s="6" t="s">
        <v>7</v>
      </c>
      <c r="H717" s="6" t="s">
        <v>41</v>
      </c>
      <c r="I717" s="23">
        <v>13433.23</v>
      </c>
      <c r="J717" s="16">
        <v>9456.1</v>
      </c>
      <c r="K717" s="23">
        <v>847</v>
      </c>
      <c r="L717" s="23"/>
      <c r="M717" s="23">
        <v>3801.01</v>
      </c>
      <c r="N717" s="47">
        <v>569.11</v>
      </c>
      <c r="O717" s="23">
        <f>+Table24[[#This Row],[FoodcostBlueline]]+Table24[[#This Row],[Pepsico]]</f>
        <v>4370.12</v>
      </c>
      <c r="P717" s="24">
        <f t="shared" si="30"/>
        <v>0.32532160917366859</v>
      </c>
      <c r="Q717" s="24"/>
      <c r="R717" s="23">
        <v>3439.07</v>
      </c>
      <c r="S717" s="25">
        <f t="shared" si="31"/>
        <v>0.25601214302144759</v>
      </c>
      <c r="T717" s="36"/>
      <c r="U717" s="36">
        <f>Table24[[#This Row],[WagesPercent]]+Table24[[#This Row],[FoodCostPercent]]</f>
        <v>0.58133375219511618</v>
      </c>
      <c r="V717" s="36"/>
    </row>
    <row r="718" spans="1:22" x14ac:dyDescent="0.25">
      <c r="A718" s="20">
        <v>717</v>
      </c>
      <c r="B718" s="21" t="s">
        <v>115</v>
      </c>
      <c r="C718" s="21" t="s">
        <v>112</v>
      </c>
      <c r="D718" s="6" t="s">
        <v>67</v>
      </c>
      <c r="E718" s="6">
        <v>3804004</v>
      </c>
      <c r="F718" s="6" t="s">
        <v>9</v>
      </c>
      <c r="G718" s="6" t="s">
        <v>7</v>
      </c>
      <c r="H718" s="6" t="s">
        <v>41</v>
      </c>
      <c r="I718" s="23">
        <v>16399.150000000001</v>
      </c>
      <c r="J718" s="16">
        <v>14554.91</v>
      </c>
      <c r="K718" s="23">
        <v>1106</v>
      </c>
      <c r="L718" s="23"/>
      <c r="M718" s="23">
        <f>19.86+4708.4</f>
        <v>4728.2599999999993</v>
      </c>
      <c r="N718" s="47">
        <v>967.33</v>
      </c>
      <c r="O718" s="23">
        <f>+Table24[[#This Row],[FoodcostBlueline]]+Table24[[#This Row],[Pepsico]]</f>
        <v>5695.5899999999992</v>
      </c>
      <c r="P718" s="24">
        <f t="shared" si="30"/>
        <v>0.34731007399773761</v>
      </c>
      <c r="Q718" s="24"/>
      <c r="R718" s="23">
        <v>4422.9399999999996</v>
      </c>
      <c r="S718" s="25">
        <f t="shared" si="31"/>
        <v>0.26970544205035013</v>
      </c>
      <c r="T718" s="36"/>
      <c r="U718" s="36">
        <f>Table24[[#This Row],[WagesPercent]]+Table24[[#This Row],[FoodCostPercent]]</f>
        <v>0.61701551604808769</v>
      </c>
      <c r="V718" s="36"/>
    </row>
    <row r="719" spans="1:22" x14ac:dyDescent="0.25">
      <c r="A719" s="20">
        <v>718</v>
      </c>
      <c r="B719" s="21" t="s">
        <v>115</v>
      </c>
      <c r="C719" s="21" t="s">
        <v>112</v>
      </c>
      <c r="D719" s="6" t="s">
        <v>67</v>
      </c>
      <c r="E719" s="6">
        <v>3804005</v>
      </c>
      <c r="F719" s="6" t="s">
        <v>10</v>
      </c>
      <c r="G719" s="6" t="s">
        <v>7</v>
      </c>
      <c r="H719" s="6" t="s">
        <v>41</v>
      </c>
      <c r="I719" s="23">
        <v>15301.61</v>
      </c>
      <c r="J719" s="16">
        <v>13736.6</v>
      </c>
      <c r="K719" s="23">
        <v>980</v>
      </c>
      <c r="L719" s="23"/>
      <c r="M719" s="23">
        <v>4144.66</v>
      </c>
      <c r="N719" s="47">
        <v>748.69</v>
      </c>
      <c r="O719" s="23">
        <f>+Table24[[#This Row],[FoodcostBlueline]]+Table24[[#This Row],[Pepsico]]</f>
        <v>4893.3500000000004</v>
      </c>
      <c r="P719" s="24">
        <f t="shared" si="30"/>
        <v>0.31979314595000136</v>
      </c>
      <c r="Q719" s="24"/>
      <c r="R719" s="23">
        <v>2418.6</v>
      </c>
      <c r="S719" s="25">
        <f t="shared" si="31"/>
        <v>0.15806179872575499</v>
      </c>
      <c r="T719" s="36"/>
      <c r="U719" s="36">
        <f>Table24[[#This Row],[WagesPercent]]+Table24[[#This Row],[FoodCostPercent]]</f>
        <v>0.47785494467575634</v>
      </c>
      <c r="V719" s="36"/>
    </row>
    <row r="720" spans="1:22" x14ac:dyDescent="0.25">
      <c r="A720" s="20">
        <v>719</v>
      </c>
      <c r="B720" s="21" t="s">
        <v>115</v>
      </c>
      <c r="C720" s="21" t="s">
        <v>112</v>
      </c>
      <c r="D720" s="6" t="s">
        <v>67</v>
      </c>
      <c r="E720" s="6">
        <v>3804006</v>
      </c>
      <c r="F720" s="6" t="s">
        <v>11</v>
      </c>
      <c r="G720" s="6" t="s">
        <v>7</v>
      </c>
      <c r="H720" s="6" t="s">
        <v>41</v>
      </c>
      <c r="I720" s="23">
        <v>9861.2000000000007</v>
      </c>
      <c r="J720" s="16">
        <v>8908.0499999999993</v>
      </c>
      <c r="K720" s="23">
        <v>690</v>
      </c>
      <c r="L720" s="23"/>
      <c r="M720" s="23">
        <v>2836.05</v>
      </c>
      <c r="N720" s="47">
        <v>0</v>
      </c>
      <c r="O720" s="23">
        <f>+Table24[[#This Row],[FoodcostBlueline]]+Table24[[#This Row],[Pepsico]]</f>
        <v>2836.05</v>
      </c>
      <c r="P720" s="24">
        <f t="shared" si="30"/>
        <v>0.28759684419746073</v>
      </c>
      <c r="Q720" s="24"/>
      <c r="R720" s="23">
        <v>2217</v>
      </c>
      <c r="S720" s="25">
        <f t="shared" si="31"/>
        <v>0.22482050866020362</v>
      </c>
      <c r="T720" s="36"/>
      <c r="U720" s="36">
        <f>Table24[[#This Row],[WagesPercent]]+Table24[[#This Row],[FoodCostPercent]]</f>
        <v>0.51241735285766432</v>
      </c>
      <c r="V720" s="36"/>
    </row>
    <row r="721" spans="1:22" x14ac:dyDescent="0.25">
      <c r="A721" s="20">
        <v>720</v>
      </c>
      <c r="B721" s="21" t="s">
        <v>115</v>
      </c>
      <c r="C721" s="21" t="s">
        <v>112</v>
      </c>
      <c r="D721" s="6" t="s">
        <v>67</v>
      </c>
      <c r="E721" s="6">
        <v>3804008</v>
      </c>
      <c r="F721" s="6" t="s">
        <v>12</v>
      </c>
      <c r="G721" s="6" t="s">
        <v>42</v>
      </c>
      <c r="H721" s="6" t="s">
        <v>41</v>
      </c>
      <c r="I721" s="23">
        <v>20549.400000000001</v>
      </c>
      <c r="J721" s="16">
        <v>22073.84</v>
      </c>
      <c r="K721" s="23">
        <v>1287</v>
      </c>
      <c r="L721" s="23"/>
      <c r="M721" s="23">
        <v>5817.47</v>
      </c>
      <c r="N721" s="47">
        <v>334.73</v>
      </c>
      <c r="O721" s="23">
        <f>+Table24[[#This Row],[FoodcostBlueline]]+Table24[[#This Row],[Pepsico]]</f>
        <v>6152.2000000000007</v>
      </c>
      <c r="P721" s="24">
        <f t="shared" si="30"/>
        <v>0.29938587014706025</v>
      </c>
      <c r="Q721" s="24"/>
      <c r="R721" s="23">
        <f>-1300+4522</f>
        <v>3222</v>
      </c>
      <c r="S721" s="25">
        <f t="shared" si="31"/>
        <v>0.15679289906274635</v>
      </c>
      <c r="T721" s="36"/>
      <c r="U721" s="36">
        <f>Table24[[#This Row],[WagesPercent]]+Table24[[#This Row],[FoodCostPercent]]</f>
        <v>0.4561787692098066</v>
      </c>
      <c r="V721" s="36"/>
    </row>
    <row r="722" spans="1:22" x14ac:dyDescent="0.25">
      <c r="A722" s="20">
        <v>721</v>
      </c>
      <c r="B722" s="21" t="s">
        <v>115</v>
      </c>
      <c r="C722" s="21" t="s">
        <v>112</v>
      </c>
      <c r="D722" s="6" t="s">
        <v>67</v>
      </c>
      <c r="E722" s="6">
        <v>3804009</v>
      </c>
      <c r="F722" s="6" t="s">
        <v>13</v>
      </c>
      <c r="G722" s="6" t="s">
        <v>42</v>
      </c>
      <c r="H722" s="6" t="s">
        <v>41</v>
      </c>
      <c r="I722" s="23">
        <v>15491.17</v>
      </c>
      <c r="J722" s="16">
        <v>13995.73</v>
      </c>
      <c r="K722" s="23">
        <v>972</v>
      </c>
      <c r="L722" s="23"/>
      <c r="M722" s="23">
        <f>4532.47-37.44</f>
        <v>4495.0300000000007</v>
      </c>
      <c r="N722" s="47">
        <v>388.76</v>
      </c>
      <c r="O722" s="23">
        <f>+Table24[[#This Row],[FoodcostBlueline]]+Table24[[#This Row],[Pepsico]]</f>
        <v>4883.7900000000009</v>
      </c>
      <c r="P722" s="24">
        <f t="shared" si="30"/>
        <v>0.31526282391840005</v>
      </c>
      <c r="Q722" s="24"/>
      <c r="R722" s="23">
        <f>651+2573</f>
        <v>3224</v>
      </c>
      <c r="S722" s="25">
        <f t="shared" si="31"/>
        <v>0.20811856044443383</v>
      </c>
      <c r="T722" s="36"/>
      <c r="U722" s="36">
        <f>Table24[[#This Row],[WagesPercent]]+Table24[[#This Row],[FoodCostPercent]]</f>
        <v>0.52338138436283388</v>
      </c>
      <c r="V722" s="36"/>
    </row>
    <row r="723" spans="1:22" x14ac:dyDescent="0.25">
      <c r="A723" s="20">
        <v>722</v>
      </c>
      <c r="B723" s="21" t="s">
        <v>115</v>
      </c>
      <c r="C723" s="21" t="s">
        <v>112</v>
      </c>
      <c r="D723" s="6" t="s">
        <v>67</v>
      </c>
      <c r="E723" s="6">
        <v>3804010</v>
      </c>
      <c r="F723" s="6" t="s">
        <v>14</v>
      </c>
      <c r="G723" s="6" t="s">
        <v>42</v>
      </c>
      <c r="H723" s="6" t="s">
        <v>41</v>
      </c>
      <c r="I723" s="23">
        <v>551.23</v>
      </c>
      <c r="J723" s="16">
        <v>7760.75</v>
      </c>
      <c r="K723" s="23">
        <v>36</v>
      </c>
      <c r="L723" s="23"/>
      <c r="M723" s="23">
        <v>2103.2199999999998</v>
      </c>
      <c r="N723" s="47">
        <v>0</v>
      </c>
      <c r="O723" s="23">
        <f>+Table24[[#This Row],[FoodcostBlueline]]+Table24[[#This Row],[Pepsico]]</f>
        <v>2103.2199999999998</v>
      </c>
      <c r="P723" s="24">
        <f t="shared" si="30"/>
        <v>3.8155035103314403</v>
      </c>
      <c r="Q723" s="24"/>
      <c r="R723" s="23">
        <v>600</v>
      </c>
      <c r="S723" s="25">
        <f t="shared" si="31"/>
        <v>1.0884748653012353</v>
      </c>
      <c r="T723" s="36"/>
      <c r="U723" s="36">
        <f>Table24[[#This Row],[WagesPercent]]+Table24[[#This Row],[FoodCostPercent]]</f>
        <v>4.9039783756326756</v>
      </c>
      <c r="V723" s="36"/>
    </row>
    <row r="724" spans="1:22" x14ac:dyDescent="0.25">
      <c r="A724" s="20">
        <v>723</v>
      </c>
      <c r="B724" s="21" t="s">
        <v>115</v>
      </c>
      <c r="C724" s="21" t="s">
        <v>112</v>
      </c>
      <c r="D724" s="6" t="s">
        <v>67</v>
      </c>
      <c r="E724" s="6">
        <v>3804011</v>
      </c>
      <c r="F724" s="6" t="s">
        <v>15</v>
      </c>
      <c r="G724" s="6" t="s">
        <v>79</v>
      </c>
      <c r="H724" s="6" t="s">
        <v>41</v>
      </c>
      <c r="I724" s="23">
        <v>28474.18</v>
      </c>
      <c r="J724" s="16">
        <v>19825.43</v>
      </c>
      <c r="K724" s="23">
        <v>1845</v>
      </c>
      <c r="L724" s="23"/>
      <c r="M724" s="23">
        <v>8020.09</v>
      </c>
      <c r="N724" s="47">
        <v>653.66999999999996</v>
      </c>
      <c r="O724" s="23">
        <f>+Table24[[#This Row],[FoodcostBlueline]]+Table24[[#This Row],[Pepsico]]</f>
        <v>8673.76</v>
      </c>
      <c r="P724" s="24">
        <f t="shared" si="30"/>
        <v>0.30461842974933784</v>
      </c>
      <c r="Q724" s="24"/>
      <c r="R724" s="23">
        <f>3458.82+650</f>
        <v>4108.82</v>
      </c>
      <c r="S724" s="25">
        <f t="shared" si="31"/>
        <v>0.1442998534110552</v>
      </c>
      <c r="T724" s="36"/>
      <c r="U724" s="36">
        <f>Table24[[#This Row],[WagesPercent]]+Table24[[#This Row],[FoodCostPercent]]</f>
        <v>0.44891828316039306</v>
      </c>
      <c r="V724" s="36"/>
    </row>
    <row r="725" spans="1:22" x14ac:dyDescent="0.25">
      <c r="A725" s="20">
        <v>724</v>
      </c>
      <c r="B725" s="21" t="s">
        <v>115</v>
      </c>
      <c r="C725" s="21" t="s">
        <v>112</v>
      </c>
      <c r="D725" s="6" t="s">
        <v>67</v>
      </c>
      <c r="E725" s="6">
        <v>3804013</v>
      </c>
      <c r="F725" s="6" t="s">
        <v>17</v>
      </c>
      <c r="G725" s="6" t="s">
        <v>79</v>
      </c>
      <c r="H725" s="6" t="s">
        <v>41</v>
      </c>
      <c r="I725" s="23">
        <v>8555.3799999999992</v>
      </c>
      <c r="J725" s="16">
        <v>7452.89</v>
      </c>
      <c r="K725" s="23">
        <v>558</v>
      </c>
      <c r="L725" s="23"/>
      <c r="M725" s="23">
        <f>3317.76-12.35</f>
        <v>3305.4100000000003</v>
      </c>
      <c r="N725" s="47">
        <v>209.23</v>
      </c>
      <c r="O725" s="23">
        <f>+Table24[[#This Row],[FoodcostBlueline]]+Table24[[#This Row],[Pepsico]]</f>
        <v>3514.6400000000003</v>
      </c>
      <c r="P725" s="24">
        <f t="shared" si="30"/>
        <v>0.4108105075402847</v>
      </c>
      <c r="Q725" s="24"/>
      <c r="R725" s="23">
        <v>2380.2199999999998</v>
      </c>
      <c r="S725" s="25">
        <f t="shared" si="31"/>
        <v>0.27821324125871671</v>
      </c>
      <c r="T725" s="36"/>
      <c r="U725" s="36">
        <f>Table24[[#This Row],[WagesPercent]]+Table24[[#This Row],[FoodCostPercent]]</f>
        <v>0.68902374879900141</v>
      </c>
      <c r="V725" s="36"/>
    </row>
    <row r="726" spans="1:22" x14ac:dyDescent="0.25">
      <c r="A726" s="20">
        <v>725</v>
      </c>
      <c r="B726" s="21" t="s">
        <v>115</v>
      </c>
      <c r="C726" s="21" t="s">
        <v>112</v>
      </c>
      <c r="D726" s="6" t="s">
        <v>67</v>
      </c>
      <c r="E726" s="6">
        <v>3804014</v>
      </c>
      <c r="F726" s="6" t="s">
        <v>18</v>
      </c>
      <c r="G726" s="6" t="s">
        <v>79</v>
      </c>
      <c r="H726" s="6" t="s">
        <v>41</v>
      </c>
      <c r="I726" s="23">
        <v>7484.24</v>
      </c>
      <c r="J726" s="16">
        <v>7501.49</v>
      </c>
      <c r="K726" s="23">
        <v>449</v>
      </c>
      <c r="L726" s="23"/>
      <c r="M726" s="23">
        <v>2250.77</v>
      </c>
      <c r="N726" s="47">
        <v>212.4</v>
      </c>
      <c r="O726" s="23">
        <f>+Table24[[#This Row],[FoodcostBlueline]]+Table24[[#This Row],[Pepsico]]</f>
        <v>2463.17</v>
      </c>
      <c r="P726" s="24">
        <f t="shared" si="30"/>
        <v>0.32911424540100265</v>
      </c>
      <c r="Q726" s="24"/>
      <c r="R726" s="23">
        <f>1752.56+100</f>
        <v>1852.56</v>
      </c>
      <c r="S726" s="25">
        <f t="shared" si="31"/>
        <v>0.24752813912969118</v>
      </c>
      <c r="T726" s="36"/>
      <c r="U726" s="36">
        <f>Table24[[#This Row],[WagesPercent]]+Table24[[#This Row],[FoodCostPercent]]</f>
        <v>0.57664238453069383</v>
      </c>
      <c r="V726" s="36"/>
    </row>
    <row r="727" spans="1:22" x14ac:dyDescent="0.25">
      <c r="A727" s="20">
        <v>726</v>
      </c>
      <c r="B727" s="21" t="s">
        <v>115</v>
      </c>
      <c r="C727" s="21" t="s">
        <v>112</v>
      </c>
      <c r="D727" s="6" t="s">
        <v>67</v>
      </c>
      <c r="E727" s="6">
        <v>3804015</v>
      </c>
      <c r="F727" s="6" t="s">
        <v>19</v>
      </c>
      <c r="G727" s="6" t="s">
        <v>20</v>
      </c>
      <c r="H727" s="6" t="s">
        <v>41</v>
      </c>
      <c r="I727" s="23">
        <v>14613.76</v>
      </c>
      <c r="J727" s="16">
        <v>13703.27</v>
      </c>
      <c r="K727" s="23">
        <v>935</v>
      </c>
      <c r="L727" s="23"/>
      <c r="M727" s="23">
        <v>4759.7299999999996</v>
      </c>
      <c r="N727" s="47">
        <v>223.66</v>
      </c>
      <c r="O727" s="23">
        <f>+Table24[[#This Row],[FoodcostBlueline]]+Table24[[#This Row],[Pepsico]]</f>
        <v>4983.3899999999994</v>
      </c>
      <c r="P727" s="24">
        <f t="shared" si="30"/>
        <v>0.3410066950599982</v>
      </c>
      <c r="Q727" s="24"/>
      <c r="R727" s="23">
        <v>3346.89</v>
      </c>
      <c r="S727" s="25">
        <f t="shared" si="31"/>
        <v>0.22902319457826048</v>
      </c>
      <c r="T727" s="36"/>
      <c r="U727" s="36">
        <f>Table24[[#This Row],[WagesPercent]]+Table24[[#This Row],[FoodCostPercent]]</f>
        <v>0.57002988963825874</v>
      </c>
      <c r="V727" s="36"/>
    </row>
    <row r="728" spans="1:22" x14ac:dyDescent="0.25">
      <c r="A728" s="20">
        <v>727</v>
      </c>
      <c r="B728" s="21" t="s">
        <v>115</v>
      </c>
      <c r="C728" s="21" t="s">
        <v>112</v>
      </c>
      <c r="D728" s="6" t="s">
        <v>67</v>
      </c>
      <c r="E728" s="6">
        <v>3804016</v>
      </c>
      <c r="F728" s="6" t="s">
        <v>21</v>
      </c>
      <c r="G728" s="6" t="s">
        <v>22</v>
      </c>
      <c r="H728" s="6" t="s">
        <v>40</v>
      </c>
      <c r="I728" s="23">
        <v>13200.7</v>
      </c>
      <c r="J728" s="16">
        <v>13374.58</v>
      </c>
      <c r="K728" s="23">
        <v>778</v>
      </c>
      <c r="L728" s="23"/>
      <c r="M728" s="23">
        <f>4201-24.7</f>
        <v>4176.3</v>
      </c>
      <c r="N728" s="47">
        <v>0</v>
      </c>
      <c r="O728" s="23">
        <f>+Table24[[#This Row],[FoodcostBlueline]]+Table24[[#This Row],[Pepsico]]</f>
        <v>4176.3</v>
      </c>
      <c r="P728" s="24">
        <f t="shared" si="30"/>
        <v>0.31636958646132401</v>
      </c>
      <c r="Q728" s="24"/>
      <c r="R728" s="23">
        <v>2962.67</v>
      </c>
      <c r="S728" s="25">
        <f t="shared" si="31"/>
        <v>0.22443279523055595</v>
      </c>
      <c r="T728" s="36"/>
      <c r="U728" s="36">
        <f>Table24[[#This Row],[WagesPercent]]+Table24[[#This Row],[FoodCostPercent]]</f>
        <v>0.54080238169188</v>
      </c>
      <c r="V728" s="36"/>
    </row>
    <row r="729" spans="1:22" x14ac:dyDescent="0.25">
      <c r="A729" s="20">
        <v>728</v>
      </c>
      <c r="B729" s="21" t="s">
        <v>115</v>
      </c>
      <c r="C729" s="21" t="s">
        <v>112</v>
      </c>
      <c r="D729" s="6" t="s">
        <v>67</v>
      </c>
      <c r="E729" s="6">
        <v>3804017</v>
      </c>
      <c r="F729" s="6" t="s">
        <v>23</v>
      </c>
      <c r="G729" s="6" t="s">
        <v>22</v>
      </c>
      <c r="H729" s="6" t="s">
        <v>40</v>
      </c>
      <c r="I729" s="23">
        <v>18135.240000000002</v>
      </c>
      <c r="J729" s="16">
        <v>16450.43</v>
      </c>
      <c r="K729" s="23">
        <v>1129</v>
      </c>
      <c r="L729" s="23"/>
      <c r="M729" s="23">
        <v>5442.44</v>
      </c>
      <c r="N729" s="47">
        <v>0</v>
      </c>
      <c r="O729" s="23">
        <f>+Table24[[#This Row],[FoodcostBlueline]]+Table24[[#This Row],[Pepsico]]</f>
        <v>5442.44</v>
      </c>
      <c r="P729" s="24">
        <f t="shared" si="30"/>
        <v>0.30010300387532779</v>
      </c>
      <c r="Q729" s="24"/>
      <c r="R729" s="23">
        <v>3745.77</v>
      </c>
      <c r="S729" s="25">
        <f t="shared" si="31"/>
        <v>0.20654648077444795</v>
      </c>
      <c r="T729" s="36"/>
      <c r="U729" s="36">
        <f>Table24[[#This Row],[WagesPercent]]+Table24[[#This Row],[FoodCostPercent]]</f>
        <v>0.50664948464977577</v>
      </c>
      <c r="V729" s="36"/>
    </row>
    <row r="730" spans="1:22" x14ac:dyDescent="0.25">
      <c r="A730" s="20">
        <v>729</v>
      </c>
      <c r="B730" s="21" t="s">
        <v>115</v>
      </c>
      <c r="C730" s="21" t="s">
        <v>112</v>
      </c>
      <c r="D730" s="6" t="s">
        <v>67</v>
      </c>
      <c r="E730" s="6">
        <v>3804018</v>
      </c>
      <c r="F730" s="6" t="s">
        <v>24</v>
      </c>
      <c r="G730" s="6" t="s">
        <v>20</v>
      </c>
      <c r="H730" s="6" t="s">
        <v>41</v>
      </c>
      <c r="I730" s="37">
        <v>19275.060000000001</v>
      </c>
      <c r="J730" s="16">
        <v>17316.88</v>
      </c>
      <c r="K730" s="23">
        <v>1161</v>
      </c>
      <c r="L730" s="23"/>
      <c r="M730" s="23">
        <f>6049.99+492.06</f>
        <v>6542.05</v>
      </c>
      <c r="N730" s="47">
        <v>301.51</v>
      </c>
      <c r="O730" s="23">
        <f>+Table24[[#This Row],[FoodcostBlueline]]+Table24[[#This Row],[Pepsico]]</f>
        <v>6843.56</v>
      </c>
      <c r="P730" s="24">
        <f t="shared" si="30"/>
        <v>0.35504740322468514</v>
      </c>
      <c r="Q730" s="24"/>
      <c r="R730" s="23">
        <v>4652.1400000000003</v>
      </c>
      <c r="S730" s="25">
        <f t="shared" si="31"/>
        <v>0.24135540952920509</v>
      </c>
      <c r="T730" s="36"/>
      <c r="U730" s="36">
        <f>Table24[[#This Row],[WagesPercent]]+Table24[[#This Row],[FoodCostPercent]]</f>
        <v>0.59640281275389029</v>
      </c>
      <c r="V730" s="36"/>
    </row>
    <row r="731" spans="1:22" x14ac:dyDescent="0.25">
      <c r="A731" s="20">
        <v>730</v>
      </c>
      <c r="B731" s="21" t="s">
        <v>115</v>
      </c>
      <c r="C731" s="21" t="s">
        <v>112</v>
      </c>
      <c r="D731" s="6" t="s">
        <v>67</v>
      </c>
      <c r="E731" s="6">
        <v>3804019</v>
      </c>
      <c r="F731" s="6" t="s">
        <v>25</v>
      </c>
      <c r="G731" s="6" t="s">
        <v>20</v>
      </c>
      <c r="H731" s="6" t="s">
        <v>41</v>
      </c>
      <c r="I731" s="23">
        <v>12779.27</v>
      </c>
      <c r="J731" s="16">
        <v>11974.71</v>
      </c>
      <c r="K731" s="23">
        <v>826</v>
      </c>
      <c r="L731" s="23"/>
      <c r="M731" s="23">
        <v>4363.59</v>
      </c>
      <c r="N731" s="47">
        <v>228.91</v>
      </c>
      <c r="O731" s="23">
        <f>+Table24[[#This Row],[FoodcostBlueline]]+Table24[[#This Row],[Pepsico]]</f>
        <v>4592.5</v>
      </c>
      <c r="P731" s="24">
        <f t="shared" si="30"/>
        <v>0.35937107518661082</v>
      </c>
      <c r="Q731" s="24"/>
      <c r="R731" s="23">
        <v>3098.25</v>
      </c>
      <c r="S731" s="25">
        <f t="shared" si="31"/>
        <v>0.24244342595469068</v>
      </c>
      <c r="T731" s="36"/>
      <c r="U731" s="36">
        <f>Table24[[#This Row],[WagesPercent]]+Table24[[#This Row],[FoodCostPercent]]</f>
        <v>0.60181450114130153</v>
      </c>
      <c r="V731" s="36"/>
    </row>
    <row r="732" spans="1:22" x14ac:dyDescent="0.25">
      <c r="A732" s="20">
        <v>731</v>
      </c>
      <c r="B732" s="21" t="s">
        <v>115</v>
      </c>
      <c r="C732" s="21" t="s">
        <v>112</v>
      </c>
      <c r="D732" s="6" t="s">
        <v>67</v>
      </c>
      <c r="E732" s="6">
        <v>3804020</v>
      </c>
      <c r="F732" s="6" t="s">
        <v>26</v>
      </c>
      <c r="G732" s="6" t="s">
        <v>22</v>
      </c>
      <c r="H732" s="6" t="s">
        <v>40</v>
      </c>
      <c r="I732" s="23">
        <v>12129.63</v>
      </c>
      <c r="J732" s="16">
        <v>10317.530000000001</v>
      </c>
      <c r="K732" s="23">
        <v>683</v>
      </c>
      <c r="L732" s="23"/>
      <c r="M732" s="23">
        <f>3258.73-12.35</f>
        <v>3246.38</v>
      </c>
      <c r="N732" s="47">
        <v>372.77</v>
      </c>
      <c r="O732" s="23">
        <f>+Table24[[#This Row],[FoodcostBlueline]]+Table24[[#This Row],[Pepsico]]</f>
        <v>3619.15</v>
      </c>
      <c r="P732" s="24">
        <f t="shared" si="30"/>
        <v>0.29837266264510959</v>
      </c>
      <c r="Q732" s="24"/>
      <c r="R732" s="23">
        <v>2775.35</v>
      </c>
      <c r="S732" s="25">
        <f t="shared" si="31"/>
        <v>0.22880747392954279</v>
      </c>
      <c r="T732" s="36"/>
      <c r="U732" s="36">
        <f>Table24[[#This Row],[WagesPercent]]+Table24[[#This Row],[FoodCostPercent]]</f>
        <v>0.52718013657465235</v>
      </c>
      <c r="V732" s="36"/>
    </row>
    <row r="733" spans="1:22" x14ac:dyDescent="0.25">
      <c r="A733" s="20">
        <v>732</v>
      </c>
      <c r="B733" s="21" t="s">
        <v>115</v>
      </c>
      <c r="C733" s="21" t="s">
        <v>112</v>
      </c>
      <c r="D733" s="6" t="s">
        <v>67</v>
      </c>
      <c r="E733" s="6">
        <v>3804021</v>
      </c>
      <c r="F733" s="6" t="s">
        <v>27</v>
      </c>
      <c r="G733" s="6" t="s">
        <v>22</v>
      </c>
      <c r="H733" s="6" t="s">
        <v>40</v>
      </c>
      <c r="I733" s="23">
        <v>8661.59</v>
      </c>
      <c r="J733" s="16">
        <v>21708.37</v>
      </c>
      <c r="K733" s="23">
        <v>536</v>
      </c>
      <c r="L733" s="23"/>
      <c r="M733" s="23">
        <v>6332.66</v>
      </c>
      <c r="N733" s="47">
        <v>801.69</v>
      </c>
      <c r="O733" s="23">
        <f>+Table24[[#This Row],[FoodcostBlueline]]+Table24[[#This Row],[Pepsico]]</f>
        <v>7134.35</v>
      </c>
      <c r="P733" s="24">
        <f t="shared" si="30"/>
        <v>0.82367671524512243</v>
      </c>
      <c r="Q733" s="24"/>
      <c r="R733" s="23">
        <v>2442.08</v>
      </c>
      <c r="S733" s="25">
        <f t="shared" si="31"/>
        <v>0.28194361543319413</v>
      </c>
      <c r="T733" s="25"/>
      <c r="U733" s="26">
        <f>Table24[[#This Row],[WagesPercent]]+Table24[[#This Row],[FoodCostPercent]]</f>
        <v>1.1056203306783166</v>
      </c>
      <c r="V733" s="26"/>
    </row>
    <row r="734" spans="1:22" x14ac:dyDescent="0.25">
      <c r="A734" s="20">
        <v>733</v>
      </c>
      <c r="B734" s="21" t="s">
        <v>115</v>
      </c>
      <c r="C734" s="21" t="s">
        <v>112</v>
      </c>
      <c r="D734" s="6" t="s">
        <v>67</v>
      </c>
      <c r="E734" s="6">
        <v>3804022</v>
      </c>
      <c r="F734" s="6" t="s">
        <v>28</v>
      </c>
      <c r="G734" s="6" t="s">
        <v>22</v>
      </c>
      <c r="H734" s="6" t="s">
        <v>40</v>
      </c>
      <c r="I734" s="23">
        <v>12253.01</v>
      </c>
      <c r="J734" s="16">
        <v>13392.72</v>
      </c>
      <c r="K734" s="23">
        <v>724</v>
      </c>
      <c r="L734" s="23"/>
      <c r="M734" s="23">
        <v>4366.66</v>
      </c>
      <c r="N734" s="47">
        <v>380.92</v>
      </c>
      <c r="O734" s="23">
        <f>+Table24[[#This Row],[FoodcostBlueline]]+Table24[[#This Row],[Pepsico]]</f>
        <v>4747.58</v>
      </c>
      <c r="P734" s="24">
        <f t="shared" si="30"/>
        <v>0.38746234598682283</v>
      </c>
      <c r="Q734" s="24"/>
      <c r="R734" s="23">
        <v>2799.6</v>
      </c>
      <c r="S734" s="25">
        <f t="shared" si="31"/>
        <v>0.22848263406297717</v>
      </c>
      <c r="T734" s="26"/>
      <c r="U734" s="26">
        <f>Table24[[#This Row],[WagesPercent]]+Table24[[#This Row],[FoodCostPercent]]</f>
        <v>0.61594498004980003</v>
      </c>
      <c r="V734" s="26"/>
    </row>
    <row r="735" spans="1:22" x14ac:dyDescent="0.25">
      <c r="A735" s="20">
        <v>734</v>
      </c>
      <c r="B735" s="21" t="s">
        <v>115</v>
      </c>
      <c r="C735" s="21" t="s">
        <v>112</v>
      </c>
      <c r="D735" s="6" t="s">
        <v>67</v>
      </c>
      <c r="E735" s="6">
        <v>3804023</v>
      </c>
      <c r="F735" s="6" t="s">
        <v>29</v>
      </c>
      <c r="G735" s="6" t="s">
        <v>22</v>
      </c>
      <c r="H735" s="6" t="s">
        <v>40</v>
      </c>
      <c r="I735" s="23">
        <v>12637.02</v>
      </c>
      <c r="J735" s="16">
        <v>14197.48</v>
      </c>
      <c r="K735" s="23">
        <v>776</v>
      </c>
      <c r="L735" s="23"/>
      <c r="M735" s="23">
        <v>3793.56</v>
      </c>
      <c r="N735" s="47">
        <v>488.36</v>
      </c>
      <c r="O735" s="23">
        <f>+Table24[[#This Row],[FoodcostBlueline]]+Table24[[#This Row],[Pepsico]]</f>
        <v>4281.92</v>
      </c>
      <c r="P735" s="24">
        <f t="shared" si="30"/>
        <v>0.33883937827114302</v>
      </c>
      <c r="Q735" s="24"/>
      <c r="R735" s="23">
        <v>3013.58</v>
      </c>
      <c r="S735" s="25">
        <f t="shared" si="31"/>
        <v>0.23847236136367592</v>
      </c>
      <c r="T735" s="24"/>
      <c r="U735" s="36">
        <f>Table24[[#This Row],[WagesPercent]]+Table24[[#This Row],[FoodCostPercent]]</f>
        <v>0.57731173963481897</v>
      </c>
      <c r="V735" s="36"/>
    </row>
    <row r="736" spans="1:22" x14ac:dyDescent="0.25">
      <c r="A736" s="20">
        <v>735</v>
      </c>
      <c r="B736" s="21" t="s">
        <v>115</v>
      </c>
      <c r="C736" s="21" t="s">
        <v>112</v>
      </c>
      <c r="D736" s="6" t="s">
        <v>67</v>
      </c>
      <c r="E736" s="6">
        <v>3804024</v>
      </c>
      <c r="F736" s="6" t="s">
        <v>30</v>
      </c>
      <c r="G736" s="6" t="s">
        <v>20</v>
      </c>
      <c r="H736" s="6" t="s">
        <v>41</v>
      </c>
      <c r="I736" s="23">
        <v>10056.4</v>
      </c>
      <c r="J736" s="16">
        <v>9939.74</v>
      </c>
      <c r="K736" s="23">
        <v>664</v>
      </c>
      <c r="L736" s="23"/>
      <c r="M736" s="23">
        <v>3163.47</v>
      </c>
      <c r="N736" s="47">
        <v>341.28</v>
      </c>
      <c r="O736" s="23">
        <f>+Table24[[#This Row],[FoodcostBlueline]]+Table24[[#This Row],[Pepsico]]</f>
        <v>3504.75</v>
      </c>
      <c r="P736" s="24">
        <f t="shared" si="30"/>
        <v>0.34850940694483118</v>
      </c>
      <c r="Q736" s="24"/>
      <c r="R736" s="23">
        <f>3131.99+63.23</f>
        <v>3195.22</v>
      </c>
      <c r="S736" s="25">
        <f t="shared" si="31"/>
        <v>0.31773000278429658</v>
      </c>
      <c r="T736" s="24"/>
      <c r="U736" s="36">
        <f>Table24[[#This Row],[WagesPercent]]+Table24[[#This Row],[FoodCostPercent]]</f>
        <v>0.66623940972912776</v>
      </c>
      <c r="V736" s="36"/>
    </row>
    <row r="737" spans="1:22" x14ac:dyDescent="0.25">
      <c r="A737" s="20">
        <v>736</v>
      </c>
      <c r="B737" s="21" t="s">
        <v>115</v>
      </c>
      <c r="C737" s="21" t="s">
        <v>112</v>
      </c>
      <c r="D737" s="6" t="s">
        <v>67</v>
      </c>
      <c r="E737" s="6">
        <v>3804025</v>
      </c>
      <c r="F737" s="6" t="s">
        <v>31</v>
      </c>
      <c r="G737" s="6" t="s">
        <v>20</v>
      </c>
      <c r="H737" s="6" t="s">
        <v>41</v>
      </c>
      <c r="I737" s="23">
        <v>25743.67</v>
      </c>
      <c r="J737" s="16">
        <v>21617.119999999999</v>
      </c>
      <c r="K737" s="23">
        <v>1612</v>
      </c>
      <c r="L737" s="23"/>
      <c r="M737" s="23">
        <v>7338.66</v>
      </c>
      <c r="N737" s="47">
        <v>403.01</v>
      </c>
      <c r="O737" s="23">
        <f>+Table24[[#This Row],[FoodcostBlueline]]+Table24[[#This Row],[Pepsico]]</f>
        <v>7741.67</v>
      </c>
      <c r="P737" s="24">
        <f t="shared" si="30"/>
        <v>0.30072130352820714</v>
      </c>
      <c r="Q737" s="24"/>
      <c r="R737" s="23">
        <v>5439.03</v>
      </c>
      <c r="S737" s="25">
        <f t="shared" si="31"/>
        <v>0.21127640309248838</v>
      </c>
      <c r="T737" s="24"/>
      <c r="U737" s="36">
        <f>Table24[[#This Row],[WagesPercent]]+Table24[[#This Row],[FoodCostPercent]]</f>
        <v>0.51199770662069555</v>
      </c>
      <c r="V737" s="36"/>
    </row>
    <row r="738" spans="1:22" x14ac:dyDescent="0.25">
      <c r="A738" s="20">
        <v>737</v>
      </c>
      <c r="B738" s="21" t="s">
        <v>115</v>
      </c>
      <c r="C738" s="21" t="s">
        <v>112</v>
      </c>
      <c r="D738" s="6" t="s">
        <v>67</v>
      </c>
      <c r="E738" s="6">
        <v>3804026</v>
      </c>
      <c r="F738" s="6" t="s">
        <v>32</v>
      </c>
      <c r="G738" s="6" t="s">
        <v>79</v>
      </c>
      <c r="H738" s="6" t="s">
        <v>41</v>
      </c>
      <c r="I738" s="23">
        <v>12571.16</v>
      </c>
      <c r="J738" s="16">
        <v>13016.57</v>
      </c>
      <c r="K738" s="23">
        <v>759</v>
      </c>
      <c r="L738" s="23"/>
      <c r="M738" s="37">
        <f>3994.74-12.35</f>
        <v>3982.39</v>
      </c>
      <c r="N738" s="47">
        <v>330.94</v>
      </c>
      <c r="O738" s="23">
        <f>+Table24[[#This Row],[FoodcostBlueline]]+Table24[[#This Row],[Pepsico]]</f>
        <v>4313.33</v>
      </c>
      <c r="P738" s="24">
        <f t="shared" si="30"/>
        <v>0.34311312559859231</v>
      </c>
      <c r="Q738" s="24"/>
      <c r="R738" s="23">
        <v>3694.46</v>
      </c>
      <c r="S738" s="25">
        <f t="shared" si="31"/>
        <v>0.29388377842617547</v>
      </c>
      <c r="T738" s="24"/>
      <c r="U738" s="36">
        <f>Table24[[#This Row],[WagesPercent]]+Table24[[#This Row],[FoodCostPercent]]</f>
        <v>0.63699690402476783</v>
      </c>
      <c r="V738" s="36"/>
    </row>
    <row r="739" spans="1:22" x14ac:dyDescent="0.25">
      <c r="A739" s="20">
        <v>738</v>
      </c>
      <c r="B739" s="21" t="s">
        <v>115</v>
      </c>
      <c r="C739" s="21" t="s">
        <v>112</v>
      </c>
      <c r="D739" s="6" t="s">
        <v>67</v>
      </c>
      <c r="E739" s="6">
        <v>3804027</v>
      </c>
      <c r="F739" s="6" t="s">
        <v>33</v>
      </c>
      <c r="G739" s="6" t="s">
        <v>43</v>
      </c>
      <c r="H739" s="6" t="s">
        <v>41</v>
      </c>
      <c r="I739" s="23">
        <v>17973.12</v>
      </c>
      <c r="J739" s="16">
        <v>13138.03</v>
      </c>
      <c r="K739" s="23">
        <v>1272</v>
      </c>
      <c r="L739" s="23"/>
      <c r="M739" s="23">
        <f>4562.48-119.84</f>
        <v>4442.6399999999994</v>
      </c>
      <c r="N739" s="47">
        <v>0</v>
      </c>
      <c r="O739" s="23">
        <f>+Table24[[#This Row],[FoodcostBlueline]]+Table24[[#This Row],[Pepsico]]</f>
        <v>4442.6399999999994</v>
      </c>
      <c r="P739" s="24">
        <f t="shared" si="30"/>
        <v>0.24718245913898085</v>
      </c>
      <c r="Q739" s="24"/>
      <c r="R739" s="23">
        <f>1732.55+377+1600</f>
        <v>3709.55</v>
      </c>
      <c r="S739" s="25">
        <f t="shared" si="31"/>
        <v>0.20639432663889187</v>
      </c>
      <c r="T739" s="24"/>
      <c r="U739" s="36">
        <f>Table24[[#This Row],[WagesPercent]]+Table24[[#This Row],[FoodCostPercent]]</f>
        <v>0.45357678577787275</v>
      </c>
      <c r="V739" s="36"/>
    </row>
    <row r="740" spans="1:22" x14ac:dyDescent="0.25">
      <c r="A740" s="20">
        <v>739</v>
      </c>
      <c r="B740" s="21" t="s">
        <v>115</v>
      </c>
      <c r="C740" s="21" t="s">
        <v>112</v>
      </c>
      <c r="D740" s="6" t="s">
        <v>67</v>
      </c>
      <c r="E740" s="6">
        <v>3804029</v>
      </c>
      <c r="F740" s="6" t="s">
        <v>34</v>
      </c>
      <c r="G740" s="6" t="s">
        <v>79</v>
      </c>
      <c r="H740" s="6" t="s">
        <v>41</v>
      </c>
      <c r="I740" s="23">
        <v>9823.1299999999992</v>
      </c>
      <c r="J740" s="16">
        <v>10751.9</v>
      </c>
      <c r="K740" s="23">
        <v>661</v>
      </c>
      <c r="L740" s="23"/>
      <c r="M740" s="23">
        <f>2469.74+140.24</f>
        <v>2609.9799999999996</v>
      </c>
      <c r="N740" s="47">
        <v>0</v>
      </c>
      <c r="O740" s="23">
        <f>+Table24[[#This Row],[FoodcostBlueline]]+Table24[[#This Row],[Pepsico]]</f>
        <v>2609.9799999999996</v>
      </c>
      <c r="P740" s="24">
        <f t="shared" si="30"/>
        <v>0.26569738973219326</v>
      </c>
      <c r="Q740" s="24"/>
      <c r="R740" s="23">
        <f>1545+979.5</f>
        <v>2524.5</v>
      </c>
      <c r="S740" s="25">
        <f t="shared" si="31"/>
        <v>0.25699547903774056</v>
      </c>
      <c r="T740" s="24"/>
      <c r="U740" s="36">
        <f>Table24[[#This Row],[WagesPercent]]+Table24[[#This Row],[FoodCostPercent]]</f>
        <v>0.52269286876993382</v>
      </c>
      <c r="V740" s="36"/>
    </row>
    <row r="741" spans="1:22" x14ac:dyDescent="0.25">
      <c r="A741" s="20">
        <v>740</v>
      </c>
      <c r="B741" s="21" t="s">
        <v>115</v>
      </c>
      <c r="C741" s="21" t="s">
        <v>112</v>
      </c>
      <c r="D741" s="6" t="s">
        <v>67</v>
      </c>
      <c r="E741" s="6">
        <v>3804030</v>
      </c>
      <c r="F741" s="6" t="s">
        <v>35</v>
      </c>
      <c r="G741" s="6" t="s">
        <v>5</v>
      </c>
      <c r="H741" s="6" t="s">
        <v>40</v>
      </c>
      <c r="I741" s="23">
        <v>9245.4599999999991</v>
      </c>
      <c r="J741" s="16">
        <v>8310.23</v>
      </c>
      <c r="K741" s="23">
        <v>545</v>
      </c>
      <c r="L741" s="23"/>
      <c r="M741" s="23">
        <v>2679.17</v>
      </c>
      <c r="N741" s="47">
        <v>185.92</v>
      </c>
      <c r="O741" s="23">
        <f>+Table24[[#This Row],[FoodcostBlueline]]+Table24[[#This Row],[Pepsico]]</f>
        <v>2865.09</v>
      </c>
      <c r="P741" s="24">
        <f t="shared" si="30"/>
        <v>0.30989155758610176</v>
      </c>
      <c r="Q741" s="24"/>
      <c r="R741" s="23">
        <v>3161.54</v>
      </c>
      <c r="S741" s="25">
        <f t="shared" si="31"/>
        <v>0.34195594378213745</v>
      </c>
      <c r="T741" s="24"/>
      <c r="U741" s="36">
        <f>Table24[[#This Row],[WagesPercent]]+Table24[[#This Row],[FoodCostPercent]]</f>
        <v>0.65184750136823921</v>
      </c>
      <c r="V741" s="36"/>
    </row>
    <row r="742" spans="1:22" x14ac:dyDescent="0.25">
      <c r="A742" s="20">
        <v>741</v>
      </c>
      <c r="B742" s="21" t="s">
        <v>115</v>
      </c>
      <c r="C742" s="21" t="s">
        <v>112</v>
      </c>
      <c r="D742" s="6" t="s">
        <v>67</v>
      </c>
      <c r="E742" s="6">
        <v>3804031</v>
      </c>
      <c r="F742" s="6" t="s">
        <v>36</v>
      </c>
      <c r="G742" s="6" t="s">
        <v>5</v>
      </c>
      <c r="H742" s="6" t="s">
        <v>40</v>
      </c>
      <c r="I742" s="23">
        <v>11581.59</v>
      </c>
      <c r="J742" s="16">
        <v>7877.92</v>
      </c>
      <c r="K742" s="23">
        <v>749</v>
      </c>
      <c r="L742" s="23"/>
      <c r="M742" s="23">
        <v>3399.22</v>
      </c>
      <c r="N742" s="47">
        <v>311.98</v>
      </c>
      <c r="O742" s="23">
        <f>+Table24[[#This Row],[FoodcostBlueline]]+Table24[[#This Row],[Pepsico]]</f>
        <v>3711.2</v>
      </c>
      <c r="P742" s="24">
        <f t="shared" si="30"/>
        <v>0.320439594218065</v>
      </c>
      <c r="Q742" s="24"/>
      <c r="R742" s="37">
        <f>1777.27+550</f>
        <v>2327.27</v>
      </c>
      <c r="S742" s="25">
        <f t="shared" si="31"/>
        <v>0.20094563872490737</v>
      </c>
      <c r="T742" s="24"/>
      <c r="U742" s="36">
        <f>Table24[[#This Row],[WagesPercent]]+Table24[[#This Row],[FoodCostPercent]]</f>
        <v>0.52138523294297234</v>
      </c>
      <c r="V742" s="36"/>
    </row>
    <row r="743" spans="1:22" x14ac:dyDescent="0.25">
      <c r="A743" s="20">
        <v>742</v>
      </c>
      <c r="B743" s="21" t="s">
        <v>115</v>
      </c>
      <c r="C743" s="21" t="s">
        <v>112</v>
      </c>
      <c r="D743" s="6" t="s">
        <v>67</v>
      </c>
      <c r="E743" s="6">
        <v>3804032</v>
      </c>
      <c r="F743" s="6" t="s">
        <v>37</v>
      </c>
      <c r="G743" s="6" t="s">
        <v>5</v>
      </c>
      <c r="H743" s="6" t="s">
        <v>40</v>
      </c>
      <c r="I743" s="37">
        <v>10629.92</v>
      </c>
      <c r="J743" s="16">
        <v>5054.9799999999996</v>
      </c>
      <c r="K743" s="23">
        <v>667</v>
      </c>
      <c r="L743" s="23"/>
      <c r="M743" s="23">
        <v>2627.6</v>
      </c>
      <c r="N743" s="47">
        <v>185.92</v>
      </c>
      <c r="O743" s="23">
        <f>+Table24[[#This Row],[FoodcostBlueline]]+Table24[[#This Row],[Pepsico]]</f>
        <v>2813.52</v>
      </c>
      <c r="P743" s="24">
        <f t="shared" si="30"/>
        <v>0.26467932025828983</v>
      </c>
      <c r="Q743" s="24"/>
      <c r="R743" s="23">
        <f>1350+850+200</f>
        <v>2400</v>
      </c>
      <c r="S743" s="25">
        <f t="shared" si="31"/>
        <v>0.22577780453662868</v>
      </c>
      <c r="T743" s="24"/>
      <c r="U743" s="36">
        <f>Table24[[#This Row],[WagesPercent]]+Table24[[#This Row],[FoodCostPercent]]</f>
        <v>0.49045712479491854</v>
      </c>
      <c r="V743" s="36"/>
    </row>
    <row r="744" spans="1:22" x14ac:dyDescent="0.25">
      <c r="A744" s="20">
        <v>743</v>
      </c>
      <c r="B744" s="21" t="s">
        <v>115</v>
      </c>
      <c r="C744" s="21" t="s">
        <v>112</v>
      </c>
      <c r="D744" s="6" t="s">
        <v>67</v>
      </c>
      <c r="E744" s="6">
        <v>3804033</v>
      </c>
      <c r="F744" s="6" t="s">
        <v>38</v>
      </c>
      <c r="G744" s="6" t="s">
        <v>5</v>
      </c>
      <c r="H744" s="6" t="s">
        <v>40</v>
      </c>
      <c r="I744" s="23">
        <v>8312.65</v>
      </c>
      <c r="J744" s="16">
        <v>7759.8</v>
      </c>
      <c r="K744" s="23">
        <v>650</v>
      </c>
      <c r="L744" s="23"/>
      <c r="M744" s="23">
        <v>2505.0500000000002</v>
      </c>
      <c r="N744" s="47">
        <v>175.85</v>
      </c>
      <c r="O744" s="23">
        <f>+Table24[[#This Row],[FoodcostBlueline]]+Table24[[#This Row],[Pepsico]]</f>
        <v>2680.9</v>
      </c>
      <c r="P744" s="24">
        <f t="shared" si="30"/>
        <v>0.32250846601264338</v>
      </c>
      <c r="Q744" s="24"/>
      <c r="R744" s="23">
        <f>1350+750+165.58</f>
        <v>2265.58</v>
      </c>
      <c r="S744" s="25">
        <f t="shared" si="31"/>
        <v>0.27254605931923032</v>
      </c>
      <c r="T744" s="24"/>
      <c r="U744" s="36">
        <f>Table24[[#This Row],[WagesPercent]]+Table24[[#This Row],[FoodCostPercent]]</f>
        <v>0.59505452533187375</v>
      </c>
      <c r="V744" s="36"/>
    </row>
    <row r="745" spans="1:22" x14ac:dyDescent="0.25">
      <c r="A745" s="20">
        <v>744</v>
      </c>
      <c r="B745" s="21" t="s">
        <v>115</v>
      </c>
      <c r="C745" s="21" t="s">
        <v>112</v>
      </c>
      <c r="D745" s="6" t="s">
        <v>67</v>
      </c>
      <c r="E745" s="6">
        <v>3804034</v>
      </c>
      <c r="F745" s="6" t="s">
        <v>53</v>
      </c>
      <c r="G745" s="6" t="s">
        <v>79</v>
      </c>
      <c r="H745" s="6" t="s">
        <v>41</v>
      </c>
      <c r="I745" s="23">
        <v>9055.2900000000009</v>
      </c>
      <c r="J745" s="16">
        <v>9764.11</v>
      </c>
      <c r="K745" s="23">
        <v>503</v>
      </c>
      <c r="L745" s="23"/>
      <c r="M745" s="23">
        <f>3145.44+337.8-60.04</f>
        <v>3423.2000000000003</v>
      </c>
      <c r="N745" s="47">
        <v>201.08</v>
      </c>
      <c r="O745" s="23">
        <f>+Table24[[#This Row],[FoodcostBlueline]]+Table24[[#This Row],[Pepsico]]</f>
        <v>3624.28</v>
      </c>
      <c r="P745" s="24">
        <f t="shared" si="30"/>
        <v>0.40023897633317096</v>
      </c>
      <c r="Q745" s="24"/>
      <c r="R745" s="23">
        <v>2400</v>
      </c>
      <c r="S745" s="25">
        <f t="shared" si="31"/>
        <v>0.26503844713973818</v>
      </c>
      <c r="T745" s="24"/>
      <c r="U745" s="36">
        <f>Table24[[#This Row],[WagesPercent]]+Table24[[#This Row],[FoodCostPercent]]</f>
        <v>0.66527742347290908</v>
      </c>
      <c r="V745" s="36"/>
    </row>
    <row r="746" spans="1:22" x14ac:dyDescent="0.25">
      <c r="A746" s="20">
        <v>745</v>
      </c>
      <c r="B746" s="21" t="s">
        <v>116</v>
      </c>
      <c r="C746" s="21" t="s">
        <v>117</v>
      </c>
      <c r="D746" s="6" t="s">
        <v>68</v>
      </c>
      <c r="E746" s="6">
        <v>3804001</v>
      </c>
      <c r="F746" s="6" t="s">
        <v>4</v>
      </c>
      <c r="G746" s="6" t="s">
        <v>5</v>
      </c>
      <c r="H746" s="6" t="s">
        <v>40</v>
      </c>
      <c r="I746" s="23">
        <v>29085.47</v>
      </c>
      <c r="J746" s="23">
        <v>26416.720000000001</v>
      </c>
      <c r="K746" s="23">
        <v>1820</v>
      </c>
      <c r="L746" s="23"/>
      <c r="M746" s="23">
        <v>7745.93</v>
      </c>
      <c r="N746" s="47">
        <v>0</v>
      </c>
      <c r="O746" s="23">
        <f>+Table24[[#This Row],[FoodcostBlueline]]+Table24[[#This Row],[Pepsico]]</f>
        <v>7745.93</v>
      </c>
      <c r="P746" s="24">
        <f t="shared" si="30"/>
        <v>0.26631613654515468</v>
      </c>
      <c r="Q746" s="24"/>
      <c r="R746" s="23">
        <f>6761.3+165.58</f>
        <v>6926.88</v>
      </c>
      <c r="S746" s="25">
        <f t="shared" si="31"/>
        <v>0.23815602773481054</v>
      </c>
      <c r="T746" s="24"/>
      <c r="U746" s="36">
        <f>Table24[[#This Row],[WagesPercent]]+Table24[[#This Row],[FoodCostPercent]]</f>
        <v>0.50447216427996522</v>
      </c>
      <c r="V746" s="36"/>
    </row>
    <row r="747" spans="1:22" x14ac:dyDescent="0.25">
      <c r="A747" s="20">
        <v>746</v>
      </c>
      <c r="B747" s="21" t="s">
        <v>116</v>
      </c>
      <c r="C747" s="21" t="s">
        <v>117</v>
      </c>
      <c r="D747" s="6" t="s">
        <v>68</v>
      </c>
      <c r="E747" s="6">
        <v>3804002</v>
      </c>
      <c r="F747" s="6" t="s">
        <v>6</v>
      </c>
      <c r="G747" s="6" t="s">
        <v>7</v>
      </c>
      <c r="H747" s="6" t="s">
        <v>41</v>
      </c>
      <c r="I747" s="23">
        <v>13502.87</v>
      </c>
      <c r="J747" s="23">
        <v>10998.77</v>
      </c>
      <c r="K747" s="23">
        <v>1047</v>
      </c>
      <c r="L747" s="23"/>
      <c r="M747" s="23">
        <v>4293.8900000000003</v>
      </c>
      <c r="N747" s="47">
        <v>758.92</v>
      </c>
      <c r="O747" s="23">
        <f>+Table24[[#This Row],[FoodcostBlueline]]+Table24[[#This Row],[Pepsico]]</f>
        <v>5052.8100000000004</v>
      </c>
      <c r="P747" s="24">
        <f t="shared" si="30"/>
        <v>0.37420266950655678</v>
      </c>
      <c r="Q747" s="24"/>
      <c r="R747" s="23">
        <f>3324.19+313.73</f>
        <v>3637.92</v>
      </c>
      <c r="S747" s="25">
        <f t="shared" si="31"/>
        <v>0.26941827922508327</v>
      </c>
      <c r="T747" s="24"/>
      <c r="U747" s="36">
        <f>Table24[[#This Row],[WagesPercent]]+Table24[[#This Row],[FoodCostPercent]]</f>
        <v>0.64362094873164</v>
      </c>
      <c r="V747" s="36"/>
    </row>
    <row r="748" spans="1:22" x14ac:dyDescent="0.25">
      <c r="A748" s="20">
        <v>747</v>
      </c>
      <c r="B748" s="21" t="s">
        <v>116</v>
      </c>
      <c r="C748" s="21" t="s">
        <v>117</v>
      </c>
      <c r="D748" s="6" t="s">
        <v>68</v>
      </c>
      <c r="E748" s="6">
        <v>3804003</v>
      </c>
      <c r="F748" s="6" t="s">
        <v>8</v>
      </c>
      <c r="G748" s="6" t="s">
        <v>7</v>
      </c>
      <c r="H748" s="6" t="s">
        <v>41</v>
      </c>
      <c r="I748" s="23">
        <v>12878.41</v>
      </c>
      <c r="J748" s="23">
        <v>10712.91</v>
      </c>
      <c r="K748" s="23">
        <v>830</v>
      </c>
      <c r="L748" s="23"/>
      <c r="M748" s="23">
        <v>3940.01</v>
      </c>
      <c r="N748" s="47">
        <v>594.96</v>
      </c>
      <c r="O748" s="23">
        <f>+Table24[[#This Row],[FoodcostBlueline]]+Table24[[#This Row],[Pepsico]]</f>
        <v>4534.97</v>
      </c>
      <c r="P748" s="24">
        <f t="shared" si="30"/>
        <v>0.3521374144789613</v>
      </c>
      <c r="Q748" s="24"/>
      <c r="R748" s="23">
        <v>3548.62</v>
      </c>
      <c r="S748" s="25">
        <f t="shared" si="31"/>
        <v>0.27554799078457665</v>
      </c>
      <c r="T748" s="24"/>
      <c r="U748" s="36">
        <f>Table24[[#This Row],[WagesPercent]]+Table24[[#This Row],[FoodCostPercent]]</f>
        <v>0.62768540526353789</v>
      </c>
      <c r="V748" s="36"/>
    </row>
    <row r="749" spans="1:22" x14ac:dyDescent="0.25">
      <c r="A749" s="20">
        <v>748</v>
      </c>
      <c r="B749" s="21" t="s">
        <v>116</v>
      </c>
      <c r="C749" s="21" t="s">
        <v>117</v>
      </c>
      <c r="D749" s="6" t="s">
        <v>68</v>
      </c>
      <c r="E749" s="6">
        <v>3804004</v>
      </c>
      <c r="F749" s="6" t="s">
        <v>9</v>
      </c>
      <c r="G749" s="6" t="s">
        <v>7</v>
      </c>
      <c r="H749" s="6" t="s">
        <v>41</v>
      </c>
      <c r="I749" s="23">
        <v>14801.12</v>
      </c>
      <c r="J749" s="23">
        <v>17647.8</v>
      </c>
      <c r="K749" s="23">
        <v>1012</v>
      </c>
      <c r="L749" s="23"/>
      <c r="M749" s="23">
        <v>4483.1499999999996</v>
      </c>
      <c r="N749" s="47">
        <v>1007</v>
      </c>
      <c r="O749" s="23">
        <f>+Table24[[#This Row],[FoodcostBlueline]]+Table24[[#This Row],[Pepsico]]</f>
        <v>5490.15</v>
      </c>
      <c r="P749" s="24">
        <f t="shared" si="30"/>
        <v>0.37092801085323268</v>
      </c>
      <c r="Q749" s="24"/>
      <c r="R749" s="23">
        <v>4007.65</v>
      </c>
      <c r="S749" s="25">
        <f t="shared" si="31"/>
        <v>0.27076667171132995</v>
      </c>
      <c r="T749" s="24"/>
      <c r="U749" s="36">
        <f>Table24[[#This Row],[WagesPercent]]+Table24[[#This Row],[FoodCostPercent]]</f>
        <v>0.64169468256456264</v>
      </c>
      <c r="V749" s="36"/>
    </row>
    <row r="750" spans="1:22" x14ac:dyDescent="0.25">
      <c r="A750" s="20">
        <v>749</v>
      </c>
      <c r="B750" s="21" t="s">
        <v>116</v>
      </c>
      <c r="C750" s="21" t="s">
        <v>117</v>
      </c>
      <c r="D750" s="6" t="s">
        <v>68</v>
      </c>
      <c r="E750" s="6">
        <v>3804005</v>
      </c>
      <c r="F750" s="6" t="s">
        <v>10</v>
      </c>
      <c r="G750" s="6" t="s">
        <v>7</v>
      </c>
      <c r="H750" s="6" t="s">
        <v>41</v>
      </c>
      <c r="I750" s="23">
        <v>13474.16</v>
      </c>
      <c r="J750" s="23">
        <v>15340.78</v>
      </c>
      <c r="K750" s="23">
        <v>902</v>
      </c>
      <c r="L750" s="23"/>
      <c r="M750" s="23">
        <v>4288.38</v>
      </c>
      <c r="N750" s="47">
        <v>0</v>
      </c>
      <c r="O750" s="23">
        <f>+Table24[[#This Row],[FoodcostBlueline]]+Table24[[#This Row],[Pepsico]]</f>
        <v>4288.38</v>
      </c>
      <c r="P750" s="24">
        <f t="shared" si="30"/>
        <v>0.31826696432282237</v>
      </c>
      <c r="Q750" s="24"/>
      <c r="R750" s="23">
        <v>2473.59</v>
      </c>
      <c r="S750" s="25">
        <f t="shared" si="31"/>
        <v>0.18358027513403435</v>
      </c>
      <c r="T750" s="24"/>
      <c r="U750" s="36">
        <f>Table24[[#This Row],[WagesPercent]]+Table24[[#This Row],[FoodCostPercent]]</f>
        <v>0.50184723945685672</v>
      </c>
      <c r="V750" s="36"/>
    </row>
    <row r="751" spans="1:22" x14ac:dyDescent="0.25">
      <c r="A751" s="20">
        <v>750</v>
      </c>
      <c r="B751" s="21" t="s">
        <v>116</v>
      </c>
      <c r="C751" s="21" t="s">
        <v>117</v>
      </c>
      <c r="D751" s="6" t="s">
        <v>68</v>
      </c>
      <c r="E751" s="6">
        <v>3804006</v>
      </c>
      <c r="F751" s="6" t="s">
        <v>11</v>
      </c>
      <c r="G751" s="6" t="s">
        <v>7</v>
      </c>
      <c r="H751" s="6" t="s">
        <v>41</v>
      </c>
      <c r="I751" s="23">
        <v>9050.1380000000008</v>
      </c>
      <c r="J751" s="23">
        <v>11001.22</v>
      </c>
      <c r="K751" s="23">
        <v>657</v>
      </c>
      <c r="L751" s="23"/>
      <c r="M751" s="23">
        <v>3076.23</v>
      </c>
      <c r="N751" s="47">
        <v>696.5</v>
      </c>
      <c r="O751" s="23">
        <f>+Table24[[#This Row],[FoodcostBlueline]]+Table24[[#This Row],[Pepsico]]</f>
        <v>3772.73</v>
      </c>
      <c r="P751" s="24">
        <f t="shared" si="30"/>
        <v>0.41686988640394207</v>
      </c>
      <c r="Q751" s="24"/>
      <c r="R751" s="23">
        <v>2140.7600000000002</v>
      </c>
      <c r="S751" s="25">
        <f t="shared" si="31"/>
        <v>0.23654445932205675</v>
      </c>
      <c r="T751" s="24"/>
      <c r="U751" s="36">
        <f>Table24[[#This Row],[WagesPercent]]+Table24[[#This Row],[FoodCostPercent]]</f>
        <v>0.65341434572599888</v>
      </c>
      <c r="V751" s="36"/>
    </row>
    <row r="752" spans="1:22" x14ac:dyDescent="0.25">
      <c r="A752" s="20">
        <v>751</v>
      </c>
      <c r="B752" s="21" t="s">
        <v>116</v>
      </c>
      <c r="C752" s="21" t="s">
        <v>117</v>
      </c>
      <c r="D752" s="6" t="s">
        <v>68</v>
      </c>
      <c r="E752" s="6">
        <v>3804008</v>
      </c>
      <c r="F752" s="6" t="s">
        <v>12</v>
      </c>
      <c r="G752" s="6" t="s">
        <v>42</v>
      </c>
      <c r="H752" s="6" t="s">
        <v>41</v>
      </c>
      <c r="I752" s="23">
        <v>24239.98</v>
      </c>
      <c r="J752" s="23">
        <v>25235.24</v>
      </c>
      <c r="K752" s="23">
        <v>1447</v>
      </c>
      <c r="L752" s="23"/>
      <c r="M752" s="23">
        <v>5870.25</v>
      </c>
      <c r="N752" s="47">
        <v>0</v>
      </c>
      <c r="O752" s="23">
        <f>+Table24[[#This Row],[FoodcostBlueline]]+Table24[[#This Row],[Pepsico]]</f>
        <v>5870.25</v>
      </c>
      <c r="P752" s="24">
        <f t="shared" si="30"/>
        <v>0.24217222951504086</v>
      </c>
      <c r="Q752" s="24"/>
      <c r="R752" s="23">
        <v>5308</v>
      </c>
      <c r="S752" s="25">
        <f t="shared" si="31"/>
        <v>0.21897707836392605</v>
      </c>
      <c r="T752" s="24"/>
      <c r="U752" s="36">
        <f>Table24[[#This Row],[WagesPercent]]+Table24[[#This Row],[FoodCostPercent]]</f>
        <v>0.46114930787896691</v>
      </c>
      <c r="V752" s="36"/>
    </row>
    <row r="753" spans="1:22" x14ac:dyDescent="0.25">
      <c r="A753" s="20">
        <v>752</v>
      </c>
      <c r="B753" s="21" t="s">
        <v>116</v>
      </c>
      <c r="C753" s="21" t="s">
        <v>117</v>
      </c>
      <c r="D753" s="6" t="s">
        <v>68</v>
      </c>
      <c r="E753" s="6">
        <v>3804009</v>
      </c>
      <c r="F753" s="6" t="s">
        <v>13</v>
      </c>
      <c r="G753" s="6" t="s">
        <v>42</v>
      </c>
      <c r="H753" s="6" t="s">
        <v>41</v>
      </c>
      <c r="I753" s="23">
        <v>17371.32</v>
      </c>
      <c r="J753" s="23">
        <v>15674.76</v>
      </c>
      <c r="K753" s="23">
        <v>1022</v>
      </c>
      <c r="L753" s="23"/>
      <c r="M753" s="23">
        <v>4281.7299999999996</v>
      </c>
      <c r="N753" s="47">
        <v>0</v>
      </c>
      <c r="O753" s="23">
        <f>+Table24[[#This Row],[FoodcostBlueline]]+Table24[[#This Row],[Pepsico]]</f>
        <v>4281.7299999999996</v>
      </c>
      <c r="P753" s="24">
        <f t="shared" si="30"/>
        <v>0.24648270828008462</v>
      </c>
      <c r="Q753" s="24"/>
      <c r="R753" s="23">
        <f>482.34+3048</f>
        <v>3530.34</v>
      </c>
      <c r="S753" s="25">
        <f t="shared" si="31"/>
        <v>0.2032280793860225</v>
      </c>
      <c r="T753" s="24"/>
      <c r="U753" s="36">
        <f>Table24[[#This Row],[WagesPercent]]+Table24[[#This Row],[FoodCostPercent]]</f>
        <v>0.44971078766610711</v>
      </c>
      <c r="V753" s="36"/>
    </row>
    <row r="754" spans="1:22" x14ac:dyDescent="0.25">
      <c r="A754" s="20">
        <v>753</v>
      </c>
      <c r="B754" s="21" t="s">
        <v>116</v>
      </c>
      <c r="C754" s="21" t="s">
        <v>117</v>
      </c>
      <c r="D754" s="6" t="s">
        <v>68</v>
      </c>
      <c r="E754" s="6">
        <v>3804010</v>
      </c>
      <c r="F754" s="6" t="s">
        <v>14</v>
      </c>
      <c r="G754" s="6" t="s">
        <v>42</v>
      </c>
      <c r="H754" s="6" t="s">
        <v>41</v>
      </c>
      <c r="I754" s="23">
        <v>4696.26</v>
      </c>
      <c r="J754" s="23">
        <v>8217.3700000000008</v>
      </c>
      <c r="K754" s="23">
        <v>258</v>
      </c>
      <c r="L754" s="23"/>
      <c r="M754" s="23">
        <v>0</v>
      </c>
      <c r="N754" s="47">
        <v>0</v>
      </c>
      <c r="O754" s="23">
        <f>+Table24[[#This Row],[FoodcostBlueline]]+Table24[[#This Row],[Pepsico]]</f>
        <v>0</v>
      </c>
      <c r="P754" s="24">
        <f t="shared" si="30"/>
        <v>0</v>
      </c>
      <c r="Q754" s="24"/>
      <c r="R754" s="23">
        <v>-560</v>
      </c>
      <c r="S754" s="25">
        <f t="shared" si="31"/>
        <v>-0.1192438238087329</v>
      </c>
      <c r="T754" s="24"/>
      <c r="U754" s="36">
        <f>Table24[[#This Row],[WagesPercent]]+Table24[[#This Row],[FoodCostPercent]]</f>
        <v>-0.1192438238087329</v>
      </c>
      <c r="V754" s="36"/>
    </row>
    <row r="755" spans="1:22" x14ac:dyDescent="0.25">
      <c r="A755" s="20">
        <v>754</v>
      </c>
      <c r="B755" s="21" t="s">
        <v>116</v>
      </c>
      <c r="C755" s="21" t="s">
        <v>117</v>
      </c>
      <c r="D755" s="6" t="s">
        <v>68</v>
      </c>
      <c r="E755" s="6">
        <v>3804011</v>
      </c>
      <c r="F755" s="6" t="s">
        <v>15</v>
      </c>
      <c r="G755" s="6" t="s">
        <v>79</v>
      </c>
      <c r="H755" s="6" t="s">
        <v>41</v>
      </c>
      <c r="I755" s="23">
        <v>28397.06</v>
      </c>
      <c r="J755" s="23">
        <v>24713.78</v>
      </c>
      <c r="K755" s="23">
        <v>1808</v>
      </c>
      <c r="L755" s="23"/>
      <c r="M755" s="23">
        <v>7755.02</v>
      </c>
      <c r="N755" s="47">
        <v>567.27</v>
      </c>
      <c r="O755" s="23">
        <f>+Table24[[#This Row],[FoodcostBlueline]]+Table24[[#This Row],[Pepsico]]</f>
        <v>8322.2900000000009</v>
      </c>
      <c r="P755" s="24">
        <f t="shared" si="30"/>
        <v>0.2930687190857082</v>
      </c>
      <c r="Q755" s="24"/>
      <c r="R755" s="23">
        <f>3590.77+650</f>
        <v>4240.7700000000004</v>
      </c>
      <c r="S755" s="25">
        <f t="shared" si="31"/>
        <v>0.14933834699789345</v>
      </c>
      <c r="T755" s="24"/>
      <c r="U755" s="36">
        <f>Table24[[#This Row],[WagesPercent]]+Table24[[#This Row],[FoodCostPercent]]</f>
        <v>0.44240706608360164</v>
      </c>
      <c r="V755" s="36"/>
    </row>
    <row r="756" spans="1:22" x14ac:dyDescent="0.25">
      <c r="A756" s="20">
        <v>755</v>
      </c>
      <c r="B756" s="21" t="s">
        <v>116</v>
      </c>
      <c r="C756" s="21" t="s">
        <v>117</v>
      </c>
      <c r="D756" s="6" t="s">
        <v>68</v>
      </c>
      <c r="E756" s="6">
        <v>3804013</v>
      </c>
      <c r="F756" s="6" t="s">
        <v>17</v>
      </c>
      <c r="G756" s="6" t="s">
        <v>79</v>
      </c>
      <c r="H756" s="6" t="s">
        <v>41</v>
      </c>
      <c r="I756" s="23">
        <v>8125.77</v>
      </c>
      <c r="J756" s="23">
        <v>8459.8799999999992</v>
      </c>
      <c r="K756" s="23">
        <v>495</v>
      </c>
      <c r="L756" s="23"/>
      <c r="M756" s="23">
        <f>2954.89-12.35</f>
        <v>2942.54</v>
      </c>
      <c r="N756" s="47">
        <v>286.12</v>
      </c>
      <c r="O756" s="23">
        <f>+Table24[[#This Row],[FoodcostBlueline]]+Table24[[#This Row],[Pepsico]]</f>
        <v>3228.66</v>
      </c>
      <c r="P756" s="24">
        <f t="shared" si="30"/>
        <v>0.39733588324552621</v>
      </c>
      <c r="Q756" s="24"/>
      <c r="R756" s="23">
        <v>2373.08</v>
      </c>
      <c r="S756" s="25">
        <f t="shared" si="31"/>
        <v>0.2920437078578399</v>
      </c>
      <c r="T756" s="24"/>
      <c r="U756" s="36">
        <f>Table24[[#This Row],[WagesPercent]]+Table24[[#This Row],[FoodCostPercent]]</f>
        <v>0.68937959110336611</v>
      </c>
      <c r="V756" s="36"/>
    </row>
    <row r="757" spans="1:22" x14ac:dyDescent="0.25">
      <c r="A757" s="20">
        <v>756</v>
      </c>
      <c r="B757" s="21" t="s">
        <v>116</v>
      </c>
      <c r="C757" s="21" t="s">
        <v>117</v>
      </c>
      <c r="D757" s="6" t="s">
        <v>68</v>
      </c>
      <c r="E757" s="6">
        <v>3804014</v>
      </c>
      <c r="F757" s="6" t="s">
        <v>18</v>
      </c>
      <c r="G757" s="6" t="s">
        <v>79</v>
      </c>
      <c r="H757" s="6" t="s">
        <v>41</v>
      </c>
      <c r="I757" s="23">
        <v>8093.42</v>
      </c>
      <c r="J757" s="23">
        <v>8077.28</v>
      </c>
      <c r="K757" s="23">
        <v>509</v>
      </c>
      <c r="L757" s="23"/>
      <c r="M757" s="23">
        <v>2407.39</v>
      </c>
      <c r="N757" s="47">
        <v>199.16</v>
      </c>
      <c r="O757" s="23">
        <f>+Table24[[#This Row],[FoodcostBlueline]]+Table24[[#This Row],[Pepsico]]</f>
        <v>2606.5499999999997</v>
      </c>
      <c r="P757" s="24">
        <f t="shared" si="30"/>
        <v>0.32205791865490729</v>
      </c>
      <c r="Q757" s="24"/>
      <c r="R757" s="23">
        <f>2066.74+100</f>
        <v>2166.7399999999998</v>
      </c>
      <c r="S757" s="25">
        <f t="shared" si="31"/>
        <v>0.26771624356576079</v>
      </c>
      <c r="T757" s="24"/>
      <c r="U757" s="36">
        <f>Table24[[#This Row],[WagesPercent]]+Table24[[#This Row],[FoodCostPercent]]</f>
        <v>0.58977416222066803</v>
      </c>
      <c r="V757" s="36"/>
    </row>
    <row r="758" spans="1:22" x14ac:dyDescent="0.25">
      <c r="A758" s="20">
        <v>757</v>
      </c>
      <c r="B758" s="21" t="s">
        <v>116</v>
      </c>
      <c r="C758" s="21" t="s">
        <v>117</v>
      </c>
      <c r="D758" s="6" t="s">
        <v>68</v>
      </c>
      <c r="E758" s="6">
        <v>3804015</v>
      </c>
      <c r="F758" s="6" t="s">
        <v>19</v>
      </c>
      <c r="G758" s="6" t="s">
        <v>20</v>
      </c>
      <c r="H758" s="6" t="s">
        <v>41</v>
      </c>
      <c r="I758" s="23">
        <v>16722.419999999998</v>
      </c>
      <c r="J758" s="23">
        <v>19346.61</v>
      </c>
      <c r="K758" s="23">
        <v>1004</v>
      </c>
      <c r="L758" s="23"/>
      <c r="M758" s="23">
        <f>4125.48-12.35</f>
        <v>4113.1299999999992</v>
      </c>
      <c r="N758" s="47">
        <v>237.39</v>
      </c>
      <c r="O758" s="23">
        <f>+Table24[[#This Row],[FoodcostBlueline]]+Table24[[#This Row],[Pepsico]]</f>
        <v>4350.5199999999995</v>
      </c>
      <c r="P758" s="24">
        <f t="shared" si="30"/>
        <v>0.26016090972478861</v>
      </c>
      <c r="Q758" s="24"/>
      <c r="R758" s="23">
        <v>3501.97</v>
      </c>
      <c r="S758" s="25">
        <f t="shared" si="31"/>
        <v>0.20941765605695828</v>
      </c>
      <c r="T758" s="24"/>
      <c r="U758" s="36">
        <f>Table24[[#This Row],[WagesPercent]]+Table24[[#This Row],[FoodCostPercent]]</f>
        <v>0.46957856578174689</v>
      </c>
      <c r="V758" s="36"/>
    </row>
    <row r="759" spans="1:22" x14ac:dyDescent="0.25">
      <c r="A759" s="20">
        <v>758</v>
      </c>
      <c r="B759" s="21" t="s">
        <v>116</v>
      </c>
      <c r="C759" s="21" t="s">
        <v>117</v>
      </c>
      <c r="D759" s="6" t="s">
        <v>68</v>
      </c>
      <c r="E759" s="6">
        <v>3804016</v>
      </c>
      <c r="F759" s="6" t="s">
        <v>21</v>
      </c>
      <c r="G759" s="6" t="s">
        <v>22</v>
      </c>
      <c r="H759" s="6" t="s">
        <v>40</v>
      </c>
      <c r="I759" s="23">
        <v>14279.03</v>
      </c>
      <c r="J759" s="23">
        <v>16301.21</v>
      </c>
      <c r="K759" s="23">
        <v>821</v>
      </c>
      <c r="L759" s="23"/>
      <c r="M759" s="23">
        <v>3950.33</v>
      </c>
      <c r="N759" s="47">
        <v>366.64</v>
      </c>
      <c r="O759" s="23">
        <f>+Table24[[#This Row],[FoodcostBlueline]]+Table24[[#This Row],[Pepsico]]</f>
        <v>4316.97</v>
      </c>
      <c r="P759" s="24">
        <f t="shared" si="30"/>
        <v>0.30232935990750071</v>
      </c>
      <c r="Q759" s="24"/>
      <c r="R759" s="23">
        <v>3353.41</v>
      </c>
      <c r="S759" s="25">
        <f t="shared" si="31"/>
        <v>0.23484858565322714</v>
      </c>
      <c r="T759" s="24"/>
      <c r="U759" s="36">
        <f>Table24[[#This Row],[WagesPercent]]+Table24[[#This Row],[FoodCostPercent]]</f>
        <v>0.53717794556072784</v>
      </c>
      <c r="V759" s="36"/>
    </row>
    <row r="760" spans="1:22" x14ac:dyDescent="0.25">
      <c r="A760" s="20">
        <v>759</v>
      </c>
      <c r="B760" s="21" t="s">
        <v>116</v>
      </c>
      <c r="C760" s="21" t="s">
        <v>117</v>
      </c>
      <c r="D760" s="6" t="s">
        <v>68</v>
      </c>
      <c r="E760" s="6">
        <v>3804017</v>
      </c>
      <c r="F760" s="6" t="s">
        <v>23</v>
      </c>
      <c r="G760" s="6" t="s">
        <v>22</v>
      </c>
      <c r="H760" s="6" t="s">
        <v>40</v>
      </c>
      <c r="I760" s="23">
        <v>18885.669999999998</v>
      </c>
      <c r="J760" s="23">
        <v>20879.95</v>
      </c>
      <c r="K760" s="23">
        <v>1153</v>
      </c>
      <c r="L760" s="23"/>
      <c r="M760" s="23">
        <v>4812.72</v>
      </c>
      <c r="N760" s="47">
        <v>887.33</v>
      </c>
      <c r="O760" s="23">
        <f>+Table24[[#This Row],[FoodcostBlueline]]+Table24[[#This Row],[Pepsico]]</f>
        <v>5700.05</v>
      </c>
      <c r="P760" s="24">
        <f t="shared" si="30"/>
        <v>0.30181878641319054</v>
      </c>
      <c r="Q760" s="24"/>
      <c r="R760" s="23">
        <v>3946.79</v>
      </c>
      <c r="S760" s="25">
        <f t="shared" si="31"/>
        <v>0.20898331909855464</v>
      </c>
      <c r="T760" s="24"/>
      <c r="U760" s="36">
        <f>Table24[[#This Row],[WagesPercent]]+Table24[[#This Row],[FoodCostPercent]]</f>
        <v>0.51080210551174521</v>
      </c>
      <c r="V760" s="36"/>
    </row>
    <row r="761" spans="1:22" x14ac:dyDescent="0.25">
      <c r="A761" s="20">
        <v>760</v>
      </c>
      <c r="B761" s="21" t="s">
        <v>116</v>
      </c>
      <c r="C761" s="21" t="s">
        <v>117</v>
      </c>
      <c r="D761" s="6" t="s">
        <v>68</v>
      </c>
      <c r="E761" s="6">
        <v>3804018</v>
      </c>
      <c r="F761" s="6" t="s">
        <v>24</v>
      </c>
      <c r="G761" s="6" t="s">
        <v>20</v>
      </c>
      <c r="H761" s="6" t="s">
        <v>41</v>
      </c>
      <c r="I761" s="23">
        <v>23058.48</v>
      </c>
      <c r="J761" s="23">
        <v>22160.6</v>
      </c>
      <c r="K761" s="23">
        <v>1330</v>
      </c>
      <c r="L761" s="23"/>
      <c r="M761" s="23">
        <v>6010.85</v>
      </c>
      <c r="N761" s="47">
        <v>420.76</v>
      </c>
      <c r="O761" s="23">
        <f>+Table24[[#This Row],[FoodcostBlueline]]+Table24[[#This Row],[Pepsico]]</f>
        <v>6431.6100000000006</v>
      </c>
      <c r="P761" s="24">
        <f t="shared" si="30"/>
        <v>0.27892601767332453</v>
      </c>
      <c r="Q761" s="24"/>
      <c r="R761" s="23">
        <v>4722.26</v>
      </c>
      <c r="S761" s="25">
        <f t="shared" si="31"/>
        <v>0.20479493878174104</v>
      </c>
      <c r="T761" s="24"/>
      <c r="U761" s="36">
        <f>Table24[[#This Row],[WagesPercent]]+Table24[[#This Row],[FoodCostPercent]]</f>
        <v>0.48372095645506558</v>
      </c>
      <c r="V761" s="36"/>
    </row>
    <row r="762" spans="1:22" x14ac:dyDescent="0.25">
      <c r="A762" s="20">
        <v>761</v>
      </c>
      <c r="B762" s="21" t="s">
        <v>116</v>
      </c>
      <c r="C762" s="21" t="s">
        <v>117</v>
      </c>
      <c r="D762" s="6" t="s">
        <v>68</v>
      </c>
      <c r="E762" s="6">
        <v>3804019</v>
      </c>
      <c r="F762" s="6" t="s">
        <v>25</v>
      </c>
      <c r="G762" s="6" t="s">
        <v>20</v>
      </c>
      <c r="H762" s="6" t="s">
        <v>41</v>
      </c>
      <c r="I762" s="23">
        <v>15369.59</v>
      </c>
      <c r="J762" s="23">
        <v>15168.99</v>
      </c>
      <c r="K762" s="23">
        <v>910</v>
      </c>
      <c r="L762" s="23"/>
      <c r="M762" s="23">
        <v>4060.08</v>
      </c>
      <c r="N762" s="47">
        <v>218.07</v>
      </c>
      <c r="O762" s="23">
        <f>+Table24[[#This Row],[FoodcostBlueline]]+Table24[[#This Row],[Pepsico]]</f>
        <v>4278.1499999999996</v>
      </c>
      <c r="P762" s="24">
        <f t="shared" si="30"/>
        <v>0.27835160209218329</v>
      </c>
      <c r="Q762" s="24"/>
      <c r="R762" s="23">
        <f>3325.18+70</f>
        <v>3395.18</v>
      </c>
      <c r="S762" s="25">
        <f t="shared" si="31"/>
        <v>0.2209024443722962</v>
      </c>
      <c r="T762" s="24"/>
      <c r="U762" s="36">
        <f>Table24[[#This Row],[WagesPercent]]+Table24[[#This Row],[FoodCostPercent]]</f>
        <v>0.49925404646447946</v>
      </c>
      <c r="V762" s="36"/>
    </row>
    <row r="763" spans="1:22" x14ac:dyDescent="0.25">
      <c r="A763" s="20">
        <v>762</v>
      </c>
      <c r="B763" s="21" t="s">
        <v>116</v>
      </c>
      <c r="C763" s="21" t="s">
        <v>117</v>
      </c>
      <c r="D763" s="6" t="s">
        <v>68</v>
      </c>
      <c r="E763" s="6">
        <v>3804020</v>
      </c>
      <c r="F763" s="6" t="s">
        <v>26</v>
      </c>
      <c r="G763" s="6" t="s">
        <v>22</v>
      </c>
      <c r="H763" s="6" t="s">
        <v>40</v>
      </c>
      <c r="I763" s="23">
        <v>13476.33</v>
      </c>
      <c r="J763" s="23">
        <v>14976.45</v>
      </c>
      <c r="K763" s="23">
        <v>771</v>
      </c>
      <c r="L763" s="23"/>
      <c r="M763" s="37">
        <f>3249.14-22.52</f>
        <v>3226.62</v>
      </c>
      <c r="N763" s="47">
        <v>322.95</v>
      </c>
      <c r="O763" s="23">
        <f>+Table24[[#This Row],[FoodcostBlueline]]+Table24[[#This Row],[Pepsico]]</f>
        <v>3549.5699999999997</v>
      </c>
      <c r="P763" s="24">
        <f t="shared" si="30"/>
        <v>0.26339292670927467</v>
      </c>
      <c r="Q763" s="24"/>
      <c r="R763" s="23">
        <v>2686.57</v>
      </c>
      <c r="S763" s="25">
        <f t="shared" si="31"/>
        <v>0.19935472046172809</v>
      </c>
      <c r="T763" s="24"/>
      <c r="U763" s="36">
        <f>Table24[[#This Row],[WagesPercent]]+Table24[[#This Row],[FoodCostPercent]]</f>
        <v>0.46274764717100275</v>
      </c>
      <c r="V763" s="36"/>
    </row>
    <row r="764" spans="1:22" x14ac:dyDescent="0.25">
      <c r="A764" s="20">
        <v>763</v>
      </c>
      <c r="B764" s="21" t="s">
        <v>116</v>
      </c>
      <c r="C764" s="21" t="s">
        <v>117</v>
      </c>
      <c r="D764" s="6" t="s">
        <v>68</v>
      </c>
      <c r="E764" s="6">
        <v>3804021</v>
      </c>
      <c r="F764" s="6" t="s">
        <v>27</v>
      </c>
      <c r="G764" s="6" t="s">
        <v>22</v>
      </c>
      <c r="H764" s="6" t="s">
        <v>40</v>
      </c>
      <c r="I764" s="23">
        <v>20206.39</v>
      </c>
      <c r="J764" s="23">
        <v>29174.45</v>
      </c>
      <c r="K764" s="23">
        <v>1244</v>
      </c>
      <c r="L764" s="23"/>
      <c r="M764" s="23">
        <v>5034.05</v>
      </c>
      <c r="N764" s="47">
        <v>0</v>
      </c>
      <c r="O764" s="23">
        <f>+Table24[[#This Row],[FoodcostBlueline]]+Table24[[#This Row],[Pepsico]]</f>
        <v>5034.05</v>
      </c>
      <c r="P764" s="24">
        <f t="shared" si="30"/>
        <v>0.2491315865921622</v>
      </c>
      <c r="Q764" s="24"/>
      <c r="R764" s="23">
        <v>4501.63</v>
      </c>
      <c r="S764" s="25">
        <f t="shared" si="31"/>
        <v>0.22278249603219577</v>
      </c>
      <c r="T764" s="24"/>
      <c r="U764" s="36">
        <f>Table24[[#This Row],[WagesPercent]]+Table24[[#This Row],[FoodCostPercent]]</f>
        <v>0.47191408262435797</v>
      </c>
      <c r="V764" s="36"/>
    </row>
    <row r="765" spans="1:22" x14ac:dyDescent="0.25">
      <c r="A765" s="20">
        <v>764</v>
      </c>
      <c r="B765" s="21" t="s">
        <v>116</v>
      </c>
      <c r="C765" s="21" t="s">
        <v>117</v>
      </c>
      <c r="D765" s="6" t="s">
        <v>68</v>
      </c>
      <c r="E765" s="6">
        <v>3804022</v>
      </c>
      <c r="F765" s="6" t="s">
        <v>28</v>
      </c>
      <c r="G765" s="6" t="s">
        <v>22</v>
      </c>
      <c r="H765" s="6" t="s">
        <v>40</v>
      </c>
      <c r="I765" s="23">
        <v>15079.87</v>
      </c>
      <c r="J765" s="23">
        <v>16504.2</v>
      </c>
      <c r="K765" s="23">
        <v>868</v>
      </c>
      <c r="L765" s="23"/>
      <c r="M765" s="23">
        <f>3964.85-12.35</f>
        <v>3952.5</v>
      </c>
      <c r="N765" s="47">
        <v>321.35000000000002</v>
      </c>
      <c r="O765" s="23">
        <f>+Table24[[#This Row],[FoodcostBlueline]]+Table24[[#This Row],[Pepsico]]</f>
        <v>4273.8500000000004</v>
      </c>
      <c r="P765" s="24">
        <f t="shared" si="30"/>
        <v>0.28341424693979456</v>
      </c>
      <c r="Q765" s="24"/>
      <c r="R765" s="23">
        <v>2988.34</v>
      </c>
      <c r="S765" s="25">
        <f t="shared" si="31"/>
        <v>0.19816749083380691</v>
      </c>
      <c r="T765" s="24"/>
      <c r="U765" s="36">
        <f>Table24[[#This Row],[WagesPercent]]+Table24[[#This Row],[FoodCostPercent]]</f>
        <v>0.48158173777360147</v>
      </c>
      <c r="V765" s="36"/>
    </row>
    <row r="766" spans="1:22" x14ac:dyDescent="0.25">
      <c r="A766" s="20">
        <v>765</v>
      </c>
      <c r="B766" s="21" t="s">
        <v>116</v>
      </c>
      <c r="C766" s="21" t="s">
        <v>117</v>
      </c>
      <c r="D766" s="6" t="s">
        <v>68</v>
      </c>
      <c r="E766" s="6">
        <v>3804023</v>
      </c>
      <c r="F766" s="6" t="s">
        <v>29</v>
      </c>
      <c r="G766" s="6" t="s">
        <v>22</v>
      </c>
      <c r="H766" s="6" t="s">
        <v>40</v>
      </c>
      <c r="I766" s="23">
        <v>14950.06</v>
      </c>
      <c r="J766" s="23">
        <v>18521.86</v>
      </c>
      <c r="K766" s="23">
        <v>890</v>
      </c>
      <c r="L766" s="23"/>
      <c r="M766" s="23">
        <v>4369.0600000000004</v>
      </c>
      <c r="N766" s="47">
        <v>462.25</v>
      </c>
      <c r="O766" s="23">
        <f>+Table24[[#This Row],[FoodcostBlueline]]+Table24[[#This Row],[Pepsico]]</f>
        <v>4831.3100000000004</v>
      </c>
      <c r="P766" s="24">
        <f t="shared" si="30"/>
        <v>0.32316325151872305</v>
      </c>
      <c r="Q766" s="24"/>
      <c r="R766" s="23">
        <v>3171.87</v>
      </c>
      <c r="S766" s="25">
        <f t="shared" si="31"/>
        <v>0.21216436589552148</v>
      </c>
      <c r="T766" s="24"/>
      <c r="U766" s="36">
        <f>Table24[[#This Row],[WagesPercent]]+Table24[[#This Row],[FoodCostPercent]]</f>
        <v>0.53532761741424451</v>
      </c>
      <c r="V766" s="36"/>
    </row>
    <row r="767" spans="1:22" x14ac:dyDescent="0.25">
      <c r="A767" s="20">
        <v>766</v>
      </c>
      <c r="B767" s="21" t="s">
        <v>116</v>
      </c>
      <c r="C767" s="21" t="s">
        <v>117</v>
      </c>
      <c r="D767" s="6" t="s">
        <v>68</v>
      </c>
      <c r="E767" s="6">
        <v>3804024</v>
      </c>
      <c r="F767" s="6" t="s">
        <v>30</v>
      </c>
      <c r="G767" s="6" t="s">
        <v>20</v>
      </c>
      <c r="H767" s="6" t="s">
        <v>41</v>
      </c>
      <c r="I767" s="23">
        <v>10597.96</v>
      </c>
      <c r="J767" s="23">
        <v>13431.05</v>
      </c>
      <c r="K767" s="23">
        <v>623</v>
      </c>
      <c r="L767" s="23"/>
      <c r="M767" s="23">
        <v>3112.1</v>
      </c>
      <c r="N767" s="47">
        <v>255.39</v>
      </c>
      <c r="O767" s="23">
        <f>+Table24[[#This Row],[FoodcostBlueline]]+Table24[[#This Row],[Pepsico]]</f>
        <v>3367.49</v>
      </c>
      <c r="P767" s="24">
        <f t="shared" si="30"/>
        <v>0.31774888752174946</v>
      </c>
      <c r="Q767" s="24"/>
      <c r="R767" s="23">
        <f>3052.28+69.23</f>
        <v>3121.51</v>
      </c>
      <c r="S767" s="25">
        <f t="shared" si="31"/>
        <v>0.29453876028971621</v>
      </c>
      <c r="T767" s="24"/>
      <c r="U767" s="36">
        <f>Table24[[#This Row],[WagesPercent]]+Table24[[#This Row],[FoodCostPercent]]</f>
        <v>0.61228764781146561</v>
      </c>
      <c r="V767" s="36"/>
    </row>
    <row r="768" spans="1:22" x14ac:dyDescent="0.25">
      <c r="A768" s="20">
        <v>767</v>
      </c>
      <c r="B768" s="21" t="s">
        <v>116</v>
      </c>
      <c r="C768" s="21" t="s">
        <v>117</v>
      </c>
      <c r="D768" s="6" t="s">
        <v>68</v>
      </c>
      <c r="E768" s="6">
        <v>3804025</v>
      </c>
      <c r="F768" s="6" t="s">
        <v>31</v>
      </c>
      <c r="G768" s="6" t="s">
        <v>20</v>
      </c>
      <c r="H768" s="6" t="s">
        <v>41</v>
      </c>
      <c r="I768" s="23">
        <v>26477.13</v>
      </c>
      <c r="J768" s="23">
        <v>27052.1</v>
      </c>
      <c r="K768" s="23">
        <v>1636</v>
      </c>
      <c r="L768" s="23"/>
      <c r="M768" s="23">
        <v>7112.59</v>
      </c>
      <c r="N768" s="47">
        <v>481.38</v>
      </c>
      <c r="O768" s="23">
        <f>+Table24[[#This Row],[FoodcostBlueline]]+Table24[[#This Row],[Pepsico]]</f>
        <v>7593.97</v>
      </c>
      <c r="P768" s="24">
        <f t="shared" si="30"/>
        <v>0.28681243019919456</v>
      </c>
      <c r="Q768" s="24"/>
      <c r="R768" s="23">
        <v>5482.13</v>
      </c>
      <c r="S768" s="25">
        <f t="shared" si="31"/>
        <v>0.2070515195566891</v>
      </c>
      <c r="T768" s="24"/>
      <c r="U768" s="36">
        <f>Table24[[#This Row],[WagesPercent]]+Table24[[#This Row],[FoodCostPercent]]</f>
        <v>0.49386394975588366</v>
      </c>
      <c r="V768" s="36"/>
    </row>
    <row r="769" spans="1:22" x14ac:dyDescent="0.25">
      <c r="A769" s="20">
        <v>768</v>
      </c>
      <c r="B769" s="21" t="s">
        <v>116</v>
      </c>
      <c r="C769" s="21" t="s">
        <v>117</v>
      </c>
      <c r="D769" s="6" t="s">
        <v>68</v>
      </c>
      <c r="E769" s="6">
        <v>3804026</v>
      </c>
      <c r="F769" s="6" t="s">
        <v>32</v>
      </c>
      <c r="G769" s="6" t="s">
        <v>79</v>
      </c>
      <c r="H769" s="6" t="s">
        <v>41</v>
      </c>
      <c r="I769" s="23">
        <v>12373.62</v>
      </c>
      <c r="J769" s="23">
        <v>13391.51</v>
      </c>
      <c r="K769" s="23">
        <v>724</v>
      </c>
      <c r="L769" s="23"/>
      <c r="M769" s="23">
        <v>3784.57</v>
      </c>
      <c r="N769" s="47">
        <v>306.47000000000003</v>
      </c>
      <c r="O769" s="23">
        <f>+Table24[[#This Row],[FoodcostBlueline]]+Table24[[#This Row],[Pepsico]]</f>
        <v>4091.04</v>
      </c>
      <c r="P769" s="24">
        <f t="shared" si="30"/>
        <v>0.33062596071319467</v>
      </c>
      <c r="Q769" s="24"/>
      <c r="R769" s="23">
        <v>3521.33</v>
      </c>
      <c r="S769" s="25">
        <f t="shared" si="31"/>
        <v>0.28458365458127854</v>
      </c>
      <c r="T769" s="24"/>
      <c r="U769" s="36">
        <f>Table24[[#This Row],[WagesPercent]]+Table24[[#This Row],[FoodCostPercent]]</f>
        <v>0.61520961529447327</v>
      </c>
      <c r="V769" s="36"/>
    </row>
    <row r="770" spans="1:22" x14ac:dyDescent="0.25">
      <c r="A770" s="20">
        <v>769</v>
      </c>
      <c r="B770" s="21" t="s">
        <v>116</v>
      </c>
      <c r="C770" s="21" t="s">
        <v>117</v>
      </c>
      <c r="D770" s="6" t="s">
        <v>68</v>
      </c>
      <c r="E770" s="6">
        <v>3804027</v>
      </c>
      <c r="F770" s="6" t="s">
        <v>33</v>
      </c>
      <c r="G770" s="6" t="s">
        <v>43</v>
      </c>
      <c r="H770" s="6" t="s">
        <v>41</v>
      </c>
      <c r="I770" s="23">
        <v>17850.37</v>
      </c>
      <c r="J770" s="23">
        <v>15387.73</v>
      </c>
      <c r="K770" s="23">
        <v>1219</v>
      </c>
      <c r="L770" s="23"/>
      <c r="M770" s="23">
        <f>4774.37-12.35</f>
        <v>4762.0199999999995</v>
      </c>
      <c r="N770" s="47">
        <v>750.02</v>
      </c>
      <c r="O770" s="23">
        <f>+Table24[[#This Row],[FoodcostBlueline]]+Table24[[#This Row],[Pepsico]]</f>
        <v>5512.0399999999991</v>
      </c>
      <c r="P770" s="24">
        <f t="shared" ref="P770:P833" si="32">IFERROR(((M770+N770)/I770),0)</f>
        <v>0.30879135838640875</v>
      </c>
      <c r="Q770" s="24"/>
      <c r="R770" s="23">
        <f>1748.75+377+1600</f>
        <v>3725.75</v>
      </c>
      <c r="S770" s="25">
        <f t="shared" ref="S770:S833" si="33">+R770/I770</f>
        <v>0.20872116376299205</v>
      </c>
      <c r="T770" s="24"/>
      <c r="U770" s="36">
        <f>Table24[[#This Row],[WagesPercent]]+Table24[[#This Row],[FoodCostPercent]]</f>
        <v>0.5175125221494008</v>
      </c>
      <c r="V770" s="36"/>
    </row>
    <row r="771" spans="1:22" x14ac:dyDescent="0.25">
      <c r="A771" s="20">
        <v>770</v>
      </c>
      <c r="B771" s="21" t="s">
        <v>116</v>
      </c>
      <c r="C771" s="21" t="s">
        <v>117</v>
      </c>
      <c r="D771" s="6" t="s">
        <v>68</v>
      </c>
      <c r="E771" s="6">
        <v>3804029</v>
      </c>
      <c r="F771" s="6" t="s">
        <v>34</v>
      </c>
      <c r="G771" s="6" t="s">
        <v>79</v>
      </c>
      <c r="H771" s="6" t="s">
        <v>41</v>
      </c>
      <c r="I771" s="23">
        <v>9496.7900000000009</v>
      </c>
      <c r="J771" s="23">
        <v>11104.63</v>
      </c>
      <c r="K771" s="23">
        <v>615</v>
      </c>
      <c r="L771" s="23"/>
      <c r="M771" s="37">
        <v>2051.9499999999998</v>
      </c>
      <c r="N771" s="47">
        <v>315.14999999999998</v>
      </c>
      <c r="O771" s="23">
        <f>+Table24[[#This Row],[FoodcostBlueline]]+Table24[[#This Row],[Pepsico]]</f>
        <v>2367.1</v>
      </c>
      <c r="P771" s="24">
        <f t="shared" si="32"/>
        <v>0.24925264220857782</v>
      </c>
      <c r="Q771" s="24"/>
      <c r="R771" s="23">
        <f>1016.25+808.5</f>
        <v>1824.75</v>
      </c>
      <c r="S771" s="25">
        <f t="shared" si="33"/>
        <v>0.19214387177140907</v>
      </c>
      <c r="T771" s="24"/>
      <c r="U771" s="36">
        <f>Table24[[#This Row],[WagesPercent]]+Table24[[#This Row],[FoodCostPercent]]</f>
        <v>0.44139651397998692</v>
      </c>
      <c r="V771" s="36"/>
    </row>
    <row r="772" spans="1:22" x14ac:dyDescent="0.25">
      <c r="A772" s="20">
        <v>771</v>
      </c>
      <c r="B772" s="21" t="s">
        <v>116</v>
      </c>
      <c r="C772" s="21" t="s">
        <v>117</v>
      </c>
      <c r="D772" s="6" t="s">
        <v>68</v>
      </c>
      <c r="E772" s="6">
        <v>3804030</v>
      </c>
      <c r="F772" s="6" t="s">
        <v>35</v>
      </c>
      <c r="G772" s="6" t="s">
        <v>5</v>
      </c>
      <c r="H772" s="6" t="s">
        <v>40</v>
      </c>
      <c r="I772" s="23">
        <v>9951.15</v>
      </c>
      <c r="J772" s="23">
        <v>7106.61</v>
      </c>
      <c r="K772" s="23">
        <v>550</v>
      </c>
      <c r="L772" s="23"/>
      <c r="M772" s="23">
        <f>2361.13-17.45</f>
        <v>2343.6800000000003</v>
      </c>
      <c r="N772" s="47">
        <v>202.84</v>
      </c>
      <c r="O772" s="23">
        <f>+Table24[[#This Row],[FoodcostBlueline]]+Table24[[#This Row],[Pepsico]]</f>
        <v>2546.5200000000004</v>
      </c>
      <c r="P772" s="24">
        <f t="shared" si="32"/>
        <v>0.2559020816689529</v>
      </c>
      <c r="Q772" s="24"/>
      <c r="R772" s="23">
        <v>2628.48</v>
      </c>
      <c r="S772" s="25">
        <f t="shared" si="33"/>
        <v>0.26413831567205803</v>
      </c>
      <c r="T772" s="24"/>
      <c r="U772" s="36">
        <f>Table24[[#This Row],[WagesPercent]]+Table24[[#This Row],[FoodCostPercent]]</f>
        <v>0.52004039734101093</v>
      </c>
      <c r="V772" s="36"/>
    </row>
    <row r="773" spans="1:22" x14ac:dyDescent="0.25">
      <c r="A773" s="20">
        <v>772</v>
      </c>
      <c r="B773" s="21" t="s">
        <v>116</v>
      </c>
      <c r="C773" s="21" t="s">
        <v>117</v>
      </c>
      <c r="D773" s="6" t="s">
        <v>68</v>
      </c>
      <c r="E773" s="6">
        <v>3804031</v>
      </c>
      <c r="F773" s="6" t="s">
        <v>36</v>
      </c>
      <c r="G773" s="6" t="s">
        <v>5</v>
      </c>
      <c r="H773" s="6" t="s">
        <v>40</v>
      </c>
      <c r="I773" s="23">
        <v>11707.43</v>
      </c>
      <c r="J773" s="23">
        <v>8201.86</v>
      </c>
      <c r="K773" s="23">
        <v>728</v>
      </c>
      <c r="L773" s="23"/>
      <c r="M773" s="23">
        <v>3272.7</v>
      </c>
      <c r="N773" s="47">
        <v>175.85</v>
      </c>
      <c r="O773" s="23">
        <f>+Table24[[#This Row],[FoodcostBlueline]]+Table24[[#This Row],[Pepsico]]</f>
        <v>3448.5499999999997</v>
      </c>
      <c r="P773" s="24">
        <f t="shared" si="32"/>
        <v>0.2945608045489061</v>
      </c>
      <c r="Q773" s="24"/>
      <c r="R773" s="37">
        <f>1875.27+550</f>
        <v>2425.27</v>
      </c>
      <c r="S773" s="25">
        <f t="shared" si="33"/>
        <v>0.20715648096977732</v>
      </c>
      <c r="T773" s="24"/>
      <c r="U773" s="36">
        <f>Table24[[#This Row],[WagesPercent]]+Table24[[#This Row],[FoodCostPercent]]</f>
        <v>0.50171728551868344</v>
      </c>
      <c r="V773" s="36"/>
    </row>
    <row r="774" spans="1:22" x14ac:dyDescent="0.25">
      <c r="A774" s="20">
        <v>773</v>
      </c>
      <c r="B774" s="21" t="s">
        <v>116</v>
      </c>
      <c r="C774" s="21" t="s">
        <v>117</v>
      </c>
      <c r="D774" s="6" t="s">
        <v>68</v>
      </c>
      <c r="E774" s="6">
        <v>3804032</v>
      </c>
      <c r="F774" s="6" t="s">
        <v>37</v>
      </c>
      <c r="G774" s="6" t="s">
        <v>5</v>
      </c>
      <c r="H774" s="6" t="s">
        <v>40</v>
      </c>
      <c r="I774" s="37">
        <v>11231.62</v>
      </c>
      <c r="J774" s="23">
        <v>6284.46</v>
      </c>
      <c r="K774" s="23">
        <v>653</v>
      </c>
      <c r="L774" s="23"/>
      <c r="M774" s="23">
        <v>2976.73</v>
      </c>
      <c r="N774" s="47">
        <v>269.08999999999997</v>
      </c>
      <c r="O774" s="23">
        <f>+Table24[[#This Row],[FoodcostBlueline]]+Table24[[#This Row],[Pepsico]]</f>
        <v>3245.82</v>
      </c>
      <c r="P774" s="24">
        <f t="shared" si="32"/>
        <v>0.28898947792037122</v>
      </c>
      <c r="Q774" s="24"/>
      <c r="R774" s="23">
        <f>1350+850+200</f>
        <v>2400</v>
      </c>
      <c r="S774" s="25">
        <f t="shared" si="33"/>
        <v>0.21368244296014285</v>
      </c>
      <c r="T774" s="24"/>
      <c r="U774" s="36">
        <f>Table24[[#This Row],[WagesPercent]]+Table24[[#This Row],[FoodCostPercent]]</f>
        <v>0.50267192088051404</v>
      </c>
      <c r="V774" s="36"/>
    </row>
    <row r="775" spans="1:22" x14ac:dyDescent="0.25">
      <c r="A775" s="20">
        <v>774</v>
      </c>
      <c r="B775" s="21" t="s">
        <v>116</v>
      </c>
      <c r="C775" s="21" t="s">
        <v>117</v>
      </c>
      <c r="D775" s="6" t="s">
        <v>68</v>
      </c>
      <c r="E775" s="6">
        <v>3804033</v>
      </c>
      <c r="F775" s="6" t="s">
        <v>38</v>
      </c>
      <c r="G775" s="6" t="s">
        <v>5</v>
      </c>
      <c r="H775" s="6" t="s">
        <v>40</v>
      </c>
      <c r="I775" s="23">
        <v>7956.98</v>
      </c>
      <c r="J775" s="23">
        <v>9027.2800000000007</v>
      </c>
      <c r="K775" s="23">
        <v>575</v>
      </c>
      <c r="L775" s="23"/>
      <c r="M775" s="23">
        <v>2389.69</v>
      </c>
      <c r="N775" s="47">
        <v>182.75</v>
      </c>
      <c r="O775" s="23">
        <f>+Table24[[#This Row],[FoodcostBlueline]]+Table24[[#This Row],[Pepsico]]</f>
        <v>2572.44</v>
      </c>
      <c r="P775" s="24">
        <f t="shared" si="32"/>
        <v>0.32329351085462077</v>
      </c>
      <c r="Q775" s="24"/>
      <c r="R775" s="23">
        <f>1350+750+165.58</f>
        <v>2265.58</v>
      </c>
      <c r="S775" s="25">
        <f t="shared" si="33"/>
        <v>0.28472862819813549</v>
      </c>
      <c r="T775" s="24"/>
      <c r="U775" s="36">
        <f>Table24[[#This Row],[WagesPercent]]+Table24[[#This Row],[FoodCostPercent]]</f>
        <v>0.60802213905275626</v>
      </c>
      <c r="V775" s="36"/>
    </row>
    <row r="776" spans="1:22" x14ac:dyDescent="0.25">
      <c r="A776" s="20">
        <v>775</v>
      </c>
      <c r="B776" s="21" t="s">
        <v>116</v>
      </c>
      <c r="C776" s="21" t="s">
        <v>117</v>
      </c>
      <c r="D776" s="6" t="s">
        <v>68</v>
      </c>
      <c r="E776" s="6">
        <v>3804034</v>
      </c>
      <c r="F776" s="6" t="s">
        <v>53</v>
      </c>
      <c r="G776" s="6" t="s">
        <v>79</v>
      </c>
      <c r="H776" s="6" t="s">
        <v>41</v>
      </c>
      <c r="I776" s="23">
        <v>9011.11</v>
      </c>
      <c r="J776" s="23">
        <v>10877.36</v>
      </c>
      <c r="K776" s="23">
        <v>508</v>
      </c>
      <c r="L776" s="23"/>
      <c r="M776" s="23">
        <v>2740.09</v>
      </c>
      <c r="N776" s="47">
        <v>0</v>
      </c>
      <c r="O776" s="23">
        <f>+Table24[[#This Row],[FoodcostBlueline]]+Table24[[#This Row],[Pepsico]]</f>
        <v>2740.09</v>
      </c>
      <c r="P776" s="24">
        <f t="shared" si="32"/>
        <v>0.30407907571875165</v>
      </c>
      <c r="Q776" s="24"/>
      <c r="R776" s="23">
        <v>2400</v>
      </c>
      <c r="S776" s="25">
        <f t="shared" si="33"/>
        <v>0.2663378873412931</v>
      </c>
      <c r="T776" s="24"/>
      <c r="U776" s="36">
        <f>Table24[[#This Row],[WagesPercent]]+Table24[[#This Row],[FoodCostPercent]]</f>
        <v>0.57041696306004475</v>
      </c>
      <c r="V776" s="36"/>
    </row>
    <row r="777" spans="1:22" x14ac:dyDescent="0.25">
      <c r="A777" s="20">
        <v>776</v>
      </c>
      <c r="B777" s="21" t="s">
        <v>118</v>
      </c>
      <c r="C777" s="21" t="s">
        <v>117</v>
      </c>
      <c r="D777" s="6" t="s">
        <v>69</v>
      </c>
      <c r="E777" s="6">
        <v>3804001</v>
      </c>
      <c r="F777" s="6" t="s">
        <v>4</v>
      </c>
      <c r="G777" s="6" t="s">
        <v>5</v>
      </c>
      <c r="H777" s="6" t="s">
        <v>40</v>
      </c>
      <c r="I777" s="23">
        <v>28574.81</v>
      </c>
      <c r="J777" s="16">
        <v>27848.5</v>
      </c>
      <c r="K777" s="23">
        <v>1853</v>
      </c>
      <c r="L777" s="23"/>
      <c r="M777" s="23">
        <v>7883.22</v>
      </c>
      <c r="N777" s="47">
        <v>540.85</v>
      </c>
      <c r="O777" s="23">
        <f>+Table24[[#This Row],[FoodcostBlueline]]+Table24[[#This Row],[Pepsico]]</f>
        <v>8424.07</v>
      </c>
      <c r="P777" s="24">
        <f t="shared" si="32"/>
        <v>0.29480755952533017</v>
      </c>
      <c r="Q777" s="24"/>
      <c r="R777" s="23">
        <f>6297.64+165.58</f>
        <v>6463.22</v>
      </c>
      <c r="S777" s="25">
        <f t="shared" si="33"/>
        <v>0.22618593089507857</v>
      </c>
      <c r="T777" s="24"/>
      <c r="U777" s="36">
        <f>Table24[[#This Row],[WagesPercent]]+Table24[[#This Row],[FoodCostPercent]]</f>
        <v>0.52099349042040877</v>
      </c>
      <c r="V777" s="36"/>
    </row>
    <row r="778" spans="1:22" x14ac:dyDescent="0.25">
      <c r="A778" s="20">
        <v>777</v>
      </c>
      <c r="B778" s="21" t="s">
        <v>118</v>
      </c>
      <c r="C778" s="21" t="s">
        <v>117</v>
      </c>
      <c r="D778" s="6" t="s">
        <v>69</v>
      </c>
      <c r="E778" s="6">
        <v>3804002</v>
      </c>
      <c r="F778" s="6" t="s">
        <v>6</v>
      </c>
      <c r="G778" s="6" t="s">
        <v>7</v>
      </c>
      <c r="H778" s="6" t="s">
        <v>41</v>
      </c>
      <c r="I778" s="23">
        <v>13652.11</v>
      </c>
      <c r="J778" s="16">
        <v>15448.69</v>
      </c>
      <c r="K778" s="23">
        <v>1088</v>
      </c>
      <c r="L778" s="23"/>
      <c r="M778" s="23">
        <v>3926.55</v>
      </c>
      <c r="N778" s="47">
        <v>691.11</v>
      </c>
      <c r="O778" s="23">
        <f>+Table24[[#This Row],[FoodcostBlueline]]+Table24[[#This Row],[Pepsico]]</f>
        <v>4617.66</v>
      </c>
      <c r="P778" s="24">
        <f t="shared" si="32"/>
        <v>0.33823782550829135</v>
      </c>
      <c r="Q778" s="24"/>
      <c r="R778" s="23">
        <v>3647.68</v>
      </c>
      <c r="S778" s="25">
        <f t="shared" si="33"/>
        <v>0.26718800244064833</v>
      </c>
      <c r="T778" s="24"/>
      <c r="U778" s="36">
        <f>Table24[[#This Row],[WagesPercent]]+Table24[[#This Row],[FoodCostPercent]]</f>
        <v>0.60542582794893973</v>
      </c>
      <c r="V778" s="36"/>
    </row>
    <row r="779" spans="1:22" x14ac:dyDescent="0.25">
      <c r="A779" s="20">
        <v>778</v>
      </c>
      <c r="B779" s="21" t="s">
        <v>118</v>
      </c>
      <c r="C779" s="21" t="s">
        <v>117</v>
      </c>
      <c r="D779" s="6" t="s">
        <v>69</v>
      </c>
      <c r="E779" s="6">
        <v>3804003</v>
      </c>
      <c r="F779" s="6" t="s">
        <v>8</v>
      </c>
      <c r="G779" s="6" t="s">
        <v>7</v>
      </c>
      <c r="H779" s="6" t="s">
        <v>41</v>
      </c>
      <c r="I779" s="23">
        <v>5736.45</v>
      </c>
      <c r="J779" s="16">
        <v>12430.96</v>
      </c>
      <c r="K779" s="23">
        <v>387</v>
      </c>
      <c r="L779" s="23"/>
      <c r="M779" s="23">
        <v>3323.67</v>
      </c>
      <c r="N779" s="47">
        <v>358.55</v>
      </c>
      <c r="O779" s="23">
        <f>+Table24[[#This Row],[FoodcostBlueline]]+Table24[[#This Row],[Pepsico]]</f>
        <v>3682.2200000000003</v>
      </c>
      <c r="P779" s="24">
        <f t="shared" si="32"/>
        <v>0.64189873528053065</v>
      </c>
      <c r="Q779" s="24"/>
      <c r="R779" s="23">
        <v>3311.17</v>
      </c>
      <c r="S779" s="25">
        <f t="shared" si="33"/>
        <v>0.57721587392899798</v>
      </c>
      <c r="T779" s="24"/>
      <c r="U779" s="36">
        <f>Table24[[#This Row],[WagesPercent]]+Table24[[#This Row],[FoodCostPercent]]</f>
        <v>1.2191146092095286</v>
      </c>
      <c r="V779" s="36"/>
    </row>
    <row r="780" spans="1:22" x14ac:dyDescent="0.25">
      <c r="A780" s="20">
        <v>779</v>
      </c>
      <c r="B780" s="21" t="s">
        <v>118</v>
      </c>
      <c r="C780" s="21" t="s">
        <v>117</v>
      </c>
      <c r="D780" s="6" t="s">
        <v>69</v>
      </c>
      <c r="E780" s="6">
        <v>3804004</v>
      </c>
      <c r="F780" s="6" t="s">
        <v>9</v>
      </c>
      <c r="G780" s="6" t="s">
        <v>7</v>
      </c>
      <c r="H780" s="6" t="s">
        <v>41</v>
      </c>
      <c r="I780" s="23">
        <v>15867</v>
      </c>
      <c r="J780" s="16">
        <v>17482.48</v>
      </c>
      <c r="K780" s="23">
        <v>1084</v>
      </c>
      <c r="L780" s="23"/>
      <c r="M780" s="23">
        <v>3666.81</v>
      </c>
      <c r="N780" s="47">
        <v>1272.3599999999999</v>
      </c>
      <c r="O780" s="23">
        <f>+Table24[[#This Row],[FoodcostBlueline]]+Table24[[#This Row],[Pepsico]]</f>
        <v>4939.17</v>
      </c>
      <c r="P780" s="24">
        <f t="shared" si="32"/>
        <v>0.3112856872754774</v>
      </c>
      <c r="Q780" s="24"/>
      <c r="R780" s="23">
        <v>3897.49</v>
      </c>
      <c r="S780" s="25">
        <f t="shared" si="33"/>
        <v>0.24563496565198209</v>
      </c>
      <c r="T780" s="24"/>
      <c r="U780" s="36">
        <f>Table24[[#This Row],[WagesPercent]]+Table24[[#This Row],[FoodCostPercent]]</f>
        <v>0.55692065292745951</v>
      </c>
      <c r="V780" s="36"/>
    </row>
    <row r="781" spans="1:22" x14ac:dyDescent="0.25">
      <c r="A781" s="20">
        <v>780</v>
      </c>
      <c r="B781" s="21" t="s">
        <v>118</v>
      </c>
      <c r="C781" s="21" t="s">
        <v>117</v>
      </c>
      <c r="D781" s="6" t="s">
        <v>69</v>
      </c>
      <c r="E781" s="6">
        <v>3804005</v>
      </c>
      <c r="F781" s="6" t="s">
        <v>10</v>
      </c>
      <c r="G781" s="6" t="s">
        <v>7</v>
      </c>
      <c r="H781" s="6" t="s">
        <v>41</v>
      </c>
      <c r="I781" s="23">
        <v>14524.3</v>
      </c>
      <c r="J781" s="16">
        <v>16608.560000000001</v>
      </c>
      <c r="K781" s="23">
        <v>909</v>
      </c>
      <c r="L781" s="23"/>
      <c r="M781" s="23">
        <v>4267.55</v>
      </c>
      <c r="N781" s="47">
        <v>822.23</v>
      </c>
      <c r="O781" s="23">
        <f>+Table24[[#This Row],[FoodcostBlueline]]+Table24[[#This Row],[Pepsico]]</f>
        <v>5089.7800000000007</v>
      </c>
      <c r="P781" s="24">
        <f t="shared" si="32"/>
        <v>0.35043203459030736</v>
      </c>
      <c r="Q781" s="24"/>
      <c r="R781" s="23">
        <v>3323.38</v>
      </c>
      <c r="S781" s="25">
        <f t="shared" si="33"/>
        <v>0.22881515804548241</v>
      </c>
      <c r="T781" s="24"/>
      <c r="U781" s="36">
        <f>Table24[[#This Row],[WagesPercent]]+Table24[[#This Row],[FoodCostPercent]]</f>
        <v>0.57924719263578983</v>
      </c>
      <c r="V781" s="36"/>
    </row>
    <row r="782" spans="1:22" x14ac:dyDescent="0.25">
      <c r="A782" s="20">
        <v>781</v>
      </c>
      <c r="B782" s="21" t="s">
        <v>118</v>
      </c>
      <c r="C782" s="21" t="s">
        <v>117</v>
      </c>
      <c r="D782" s="6" t="s">
        <v>69</v>
      </c>
      <c r="E782" s="6">
        <v>3804006</v>
      </c>
      <c r="F782" s="6" t="s">
        <v>11</v>
      </c>
      <c r="G782" s="6" t="s">
        <v>7</v>
      </c>
      <c r="H782" s="6" t="s">
        <v>41</v>
      </c>
      <c r="I782" s="23">
        <v>8430.5930000000008</v>
      </c>
      <c r="J782" s="16">
        <v>10154.01</v>
      </c>
      <c r="K782" s="23">
        <v>621</v>
      </c>
      <c r="L782" s="23"/>
      <c r="M782" s="23">
        <v>2788.46</v>
      </c>
      <c r="N782" s="47">
        <v>0</v>
      </c>
      <c r="O782" s="23">
        <f>+Table24[[#This Row],[FoodcostBlueline]]+Table24[[#This Row],[Pepsico]]</f>
        <v>2788.46</v>
      </c>
      <c r="P782" s="24">
        <f t="shared" si="32"/>
        <v>0.3307549065646983</v>
      </c>
      <c r="Q782" s="24"/>
      <c r="R782" s="23">
        <v>1968.1</v>
      </c>
      <c r="S782" s="25">
        <f t="shared" si="33"/>
        <v>0.23344739806559275</v>
      </c>
      <c r="T782" s="24"/>
      <c r="U782" s="36">
        <f>Table24[[#This Row],[WagesPercent]]+Table24[[#This Row],[FoodCostPercent]]</f>
        <v>0.56420230463029108</v>
      </c>
      <c r="V782" s="36"/>
    </row>
    <row r="783" spans="1:22" x14ac:dyDescent="0.25">
      <c r="A783" s="20">
        <v>782</v>
      </c>
      <c r="B783" s="21" t="s">
        <v>118</v>
      </c>
      <c r="C783" s="21" t="s">
        <v>117</v>
      </c>
      <c r="D783" s="6" t="s">
        <v>69</v>
      </c>
      <c r="E783" s="6">
        <v>3804008</v>
      </c>
      <c r="F783" s="6" t="s">
        <v>12</v>
      </c>
      <c r="G783" s="6" t="s">
        <v>42</v>
      </c>
      <c r="H783" s="6" t="s">
        <v>41</v>
      </c>
      <c r="I783" s="23">
        <v>23319.02</v>
      </c>
      <c r="J783" s="16">
        <v>22959.29</v>
      </c>
      <c r="K783" s="23">
        <v>1397</v>
      </c>
      <c r="L783" s="23"/>
      <c r="M783" s="23">
        <v>5784.35</v>
      </c>
      <c r="N783" s="47">
        <v>417.85</v>
      </c>
      <c r="O783" s="23">
        <f>+Table24[[#This Row],[FoodcostBlueline]]+Table24[[#This Row],[Pepsico]]</f>
        <v>6202.2000000000007</v>
      </c>
      <c r="P783" s="24">
        <f t="shared" si="32"/>
        <v>0.26597172608454389</v>
      </c>
      <c r="Q783" s="24"/>
      <c r="R783" s="23">
        <v>5308</v>
      </c>
      <c r="S783" s="25">
        <f t="shared" si="33"/>
        <v>0.22762534617664035</v>
      </c>
      <c r="T783" s="24"/>
      <c r="U783" s="36">
        <f>Table24[[#This Row],[WagesPercent]]+Table24[[#This Row],[FoodCostPercent]]</f>
        <v>0.49359707226118421</v>
      </c>
      <c r="V783" s="36"/>
    </row>
    <row r="784" spans="1:22" x14ac:dyDescent="0.25">
      <c r="A784" s="20">
        <v>783</v>
      </c>
      <c r="B784" s="21" t="s">
        <v>118</v>
      </c>
      <c r="C784" s="21" t="s">
        <v>117</v>
      </c>
      <c r="D784" s="6" t="s">
        <v>69</v>
      </c>
      <c r="E784" s="6">
        <v>3804009</v>
      </c>
      <c r="F784" s="6" t="s">
        <v>13</v>
      </c>
      <c r="G784" s="6" t="s">
        <v>42</v>
      </c>
      <c r="H784" s="6" t="s">
        <v>41</v>
      </c>
      <c r="I784" s="23">
        <v>17168.05</v>
      </c>
      <c r="J784" s="16">
        <v>16406.330000000002</v>
      </c>
      <c r="K784" s="23">
        <v>1019</v>
      </c>
      <c r="L784" s="23"/>
      <c r="M784" s="23">
        <v>3743.36</v>
      </c>
      <c r="N784" s="47">
        <v>553.52</v>
      </c>
      <c r="O784" s="23">
        <f>+Table24[[#This Row],[FoodcostBlueline]]+Table24[[#This Row],[Pepsico]]</f>
        <v>4296.88</v>
      </c>
      <c r="P784" s="24">
        <f t="shared" si="32"/>
        <v>0.25028352084249522</v>
      </c>
      <c r="Q784" s="24"/>
      <c r="R784" s="23">
        <f>983.42+3048</f>
        <v>4031.42</v>
      </c>
      <c r="S784" s="25">
        <f t="shared" si="33"/>
        <v>0.23482107752482084</v>
      </c>
      <c r="T784" s="24"/>
      <c r="U784" s="36">
        <f>Table24[[#This Row],[WagesPercent]]+Table24[[#This Row],[FoodCostPercent]]</f>
        <v>0.48510459836731606</v>
      </c>
      <c r="V784" s="36"/>
    </row>
    <row r="785" spans="1:22" x14ac:dyDescent="0.25">
      <c r="A785" s="20">
        <v>784</v>
      </c>
      <c r="B785" s="21" t="s">
        <v>118</v>
      </c>
      <c r="C785" s="21" t="s">
        <v>117</v>
      </c>
      <c r="D785" s="6" t="s">
        <v>69</v>
      </c>
      <c r="E785" s="6">
        <v>3804010</v>
      </c>
      <c r="F785" s="6" t="s">
        <v>14</v>
      </c>
      <c r="G785" s="6" t="s">
        <v>119</v>
      </c>
      <c r="H785" s="6" t="s">
        <v>41</v>
      </c>
      <c r="I785" s="23">
        <v>3274.11</v>
      </c>
      <c r="J785" s="16">
        <v>3401.61</v>
      </c>
      <c r="K785" s="23">
        <v>196</v>
      </c>
      <c r="L785" s="23"/>
      <c r="M785" s="23">
        <v>0</v>
      </c>
      <c r="N785" s="47">
        <v>0</v>
      </c>
      <c r="O785" s="23">
        <f>+Table24[[#This Row],[FoodcostBlueline]]+Table24[[#This Row],[Pepsico]]</f>
        <v>0</v>
      </c>
      <c r="P785" s="24">
        <f t="shared" si="32"/>
        <v>0</v>
      </c>
      <c r="Q785" s="24"/>
      <c r="R785" s="23">
        <v>2629.94</v>
      </c>
      <c r="S785" s="25">
        <f t="shared" si="33"/>
        <v>0.80325340321491945</v>
      </c>
      <c r="T785" s="24"/>
      <c r="U785" s="36">
        <f>Table24[[#This Row],[WagesPercent]]+Table24[[#This Row],[FoodCostPercent]]</f>
        <v>0.80325340321491945</v>
      </c>
      <c r="V785" s="36"/>
    </row>
    <row r="786" spans="1:22" x14ac:dyDescent="0.25">
      <c r="A786" s="20">
        <v>785</v>
      </c>
      <c r="B786" s="21" t="s">
        <v>118</v>
      </c>
      <c r="C786" s="21" t="s">
        <v>117</v>
      </c>
      <c r="D786" s="6" t="s">
        <v>69</v>
      </c>
      <c r="E786" s="6">
        <v>3804011</v>
      </c>
      <c r="F786" s="6" t="s">
        <v>15</v>
      </c>
      <c r="G786" s="6" t="s">
        <v>79</v>
      </c>
      <c r="H786" s="6" t="s">
        <v>41</v>
      </c>
      <c r="I786" s="23">
        <v>31077.17</v>
      </c>
      <c r="J786" s="16">
        <v>26223.98</v>
      </c>
      <c r="K786" s="23">
        <v>1912</v>
      </c>
      <c r="L786" s="23"/>
      <c r="M786" s="23">
        <v>7331.08</v>
      </c>
      <c r="N786" s="47">
        <v>662.95</v>
      </c>
      <c r="O786" s="23">
        <f>+Table24[[#This Row],[FoodcostBlueline]]+Table24[[#This Row],[Pepsico]]</f>
        <v>7994.03</v>
      </c>
      <c r="P786" s="24">
        <f t="shared" si="32"/>
        <v>0.25723159476876434</v>
      </c>
      <c r="Q786" s="24"/>
      <c r="R786" s="23">
        <f>3512.07+650</f>
        <v>4162.07</v>
      </c>
      <c r="S786" s="25">
        <f t="shared" si="33"/>
        <v>0.13392693092710822</v>
      </c>
      <c r="T786" s="24"/>
      <c r="U786" s="36">
        <f>Table24[[#This Row],[WagesPercent]]+Table24[[#This Row],[FoodCostPercent]]</f>
        <v>0.39115852569587256</v>
      </c>
      <c r="V786" s="36"/>
    </row>
    <row r="787" spans="1:22" x14ac:dyDescent="0.25">
      <c r="A787" s="20">
        <v>786</v>
      </c>
      <c r="B787" s="21" t="s">
        <v>118</v>
      </c>
      <c r="C787" s="21" t="s">
        <v>117</v>
      </c>
      <c r="D787" s="6" t="s">
        <v>69</v>
      </c>
      <c r="E787" s="6">
        <v>3804013</v>
      </c>
      <c r="F787" s="6" t="s">
        <v>17</v>
      </c>
      <c r="G787" s="6" t="s">
        <v>79</v>
      </c>
      <c r="H787" s="6" t="s">
        <v>41</v>
      </c>
      <c r="I787" s="23">
        <v>8322.76</v>
      </c>
      <c r="J787" s="16">
        <v>8805.2099999999991</v>
      </c>
      <c r="K787" s="23">
        <v>505</v>
      </c>
      <c r="L787" s="23"/>
      <c r="M787" s="23">
        <v>2768.03</v>
      </c>
      <c r="N787" s="47">
        <v>0</v>
      </c>
      <c r="O787" s="23">
        <f>+Table24[[#This Row],[FoodcostBlueline]]+Table24[[#This Row],[Pepsico]]</f>
        <v>2768.03</v>
      </c>
      <c r="P787" s="24">
        <f t="shared" si="32"/>
        <v>0.33258558458972748</v>
      </c>
      <c r="Q787" s="24"/>
      <c r="R787" s="23">
        <v>2313.3200000000002</v>
      </c>
      <c r="S787" s="25">
        <f t="shared" si="33"/>
        <v>0.27795106431039707</v>
      </c>
      <c r="T787" s="24"/>
      <c r="U787" s="36">
        <f>Table24[[#This Row],[WagesPercent]]+Table24[[#This Row],[FoodCostPercent]]</f>
        <v>0.61053664890012449</v>
      </c>
      <c r="V787" s="36"/>
    </row>
    <row r="788" spans="1:22" x14ac:dyDescent="0.25">
      <c r="A788" s="20">
        <v>787</v>
      </c>
      <c r="B788" s="21" t="s">
        <v>118</v>
      </c>
      <c r="C788" s="21" t="s">
        <v>117</v>
      </c>
      <c r="D788" s="6" t="s">
        <v>69</v>
      </c>
      <c r="E788" s="6">
        <v>3804014</v>
      </c>
      <c r="F788" s="6" t="s">
        <v>18</v>
      </c>
      <c r="G788" s="6" t="s">
        <v>79</v>
      </c>
      <c r="H788" s="6" t="s">
        <v>41</v>
      </c>
      <c r="I788" s="23">
        <v>7801.77</v>
      </c>
      <c r="J788" s="16">
        <v>9240.41</v>
      </c>
      <c r="K788" s="23">
        <v>470</v>
      </c>
      <c r="L788" s="23"/>
      <c r="M788" s="23">
        <v>2631.71</v>
      </c>
      <c r="N788" s="47">
        <v>209.23</v>
      </c>
      <c r="O788" s="23">
        <f>+Table24[[#This Row],[FoodcostBlueline]]+Table24[[#This Row],[Pepsico]]</f>
        <v>2840.94</v>
      </c>
      <c r="P788" s="24">
        <f t="shared" si="32"/>
        <v>0.36414044505285337</v>
      </c>
      <c r="Q788" s="24"/>
      <c r="R788" s="23">
        <f>1952.53+100</f>
        <v>2052.5299999999997</v>
      </c>
      <c r="S788" s="25">
        <f t="shared" si="33"/>
        <v>0.26308517169821716</v>
      </c>
      <c r="T788" s="24"/>
      <c r="U788" s="36">
        <f>Table24[[#This Row],[WagesPercent]]+Table24[[#This Row],[FoodCostPercent]]</f>
        <v>0.62722561675107058</v>
      </c>
      <c r="V788" s="36"/>
    </row>
    <row r="789" spans="1:22" x14ac:dyDescent="0.25">
      <c r="A789" s="20">
        <v>788</v>
      </c>
      <c r="B789" s="21" t="s">
        <v>118</v>
      </c>
      <c r="C789" s="21" t="s">
        <v>117</v>
      </c>
      <c r="D789" s="6" t="s">
        <v>69</v>
      </c>
      <c r="E789" s="6">
        <v>3804015</v>
      </c>
      <c r="F789" s="6" t="s">
        <v>19</v>
      </c>
      <c r="G789" s="6" t="s">
        <v>20</v>
      </c>
      <c r="H789" s="6" t="s">
        <v>41</v>
      </c>
      <c r="I789" s="23">
        <v>16848.919999999998</v>
      </c>
      <c r="J789" s="16">
        <v>17659.939999999999</v>
      </c>
      <c r="K789" s="23">
        <v>1046</v>
      </c>
      <c r="L789" s="23"/>
      <c r="M789" s="23">
        <f>4994.34-12.35</f>
        <v>4981.99</v>
      </c>
      <c r="N789" s="47">
        <v>269.49</v>
      </c>
      <c r="O789" s="23">
        <f>+Table24[[#This Row],[FoodcostBlueline]]+Table24[[#This Row],[Pepsico]]</f>
        <v>5251.48</v>
      </c>
      <c r="P789" s="24">
        <f t="shared" si="32"/>
        <v>0.31168051127312613</v>
      </c>
      <c r="Q789" s="24"/>
      <c r="R789" s="23">
        <v>3725.39</v>
      </c>
      <c r="S789" s="25">
        <f t="shared" si="33"/>
        <v>0.2211055664101913</v>
      </c>
      <c r="T789" s="24"/>
      <c r="U789" s="36">
        <f>Table24[[#This Row],[WagesPercent]]+Table24[[#This Row],[FoodCostPercent]]</f>
        <v>0.53278607768331743</v>
      </c>
      <c r="V789" s="36"/>
    </row>
    <row r="790" spans="1:22" x14ac:dyDescent="0.25">
      <c r="A790" s="20">
        <v>789</v>
      </c>
      <c r="B790" s="21" t="s">
        <v>118</v>
      </c>
      <c r="C790" s="21" t="s">
        <v>117</v>
      </c>
      <c r="D790" s="6" t="s">
        <v>69</v>
      </c>
      <c r="E790" s="6">
        <v>3804016</v>
      </c>
      <c r="F790" s="6" t="s">
        <v>21</v>
      </c>
      <c r="G790" s="6" t="s">
        <v>120</v>
      </c>
      <c r="H790" s="6" t="s">
        <v>40</v>
      </c>
      <c r="I790" s="23">
        <v>14719.65</v>
      </c>
      <c r="J790" s="16">
        <v>15693.04</v>
      </c>
      <c r="K790" s="23">
        <v>896</v>
      </c>
      <c r="L790" s="23"/>
      <c r="M790" s="23">
        <v>3847.85</v>
      </c>
      <c r="N790" s="47">
        <v>535.74</v>
      </c>
      <c r="O790" s="23">
        <f>+Table24[[#This Row],[FoodcostBlueline]]+Table24[[#This Row],[Pepsico]]</f>
        <v>4383.59</v>
      </c>
      <c r="P790" s="24">
        <f t="shared" si="32"/>
        <v>0.29780531466441118</v>
      </c>
      <c r="Q790" s="24"/>
      <c r="R790" s="23">
        <v>3462.15</v>
      </c>
      <c r="S790" s="25">
        <f t="shared" si="33"/>
        <v>0.23520600014266646</v>
      </c>
      <c r="T790" s="24"/>
      <c r="U790" s="36">
        <f>Table24[[#This Row],[WagesPercent]]+Table24[[#This Row],[FoodCostPercent]]</f>
        <v>0.53301131480707764</v>
      </c>
      <c r="V790" s="36"/>
    </row>
    <row r="791" spans="1:22" x14ac:dyDescent="0.25">
      <c r="A791" s="20">
        <v>790</v>
      </c>
      <c r="B791" s="21" t="s">
        <v>118</v>
      </c>
      <c r="C791" s="21" t="s">
        <v>117</v>
      </c>
      <c r="D791" s="6" t="s">
        <v>69</v>
      </c>
      <c r="E791" s="6">
        <v>3804017</v>
      </c>
      <c r="F791" s="6" t="s">
        <v>23</v>
      </c>
      <c r="G791" s="6" t="s">
        <v>120</v>
      </c>
      <c r="H791" s="6" t="s">
        <v>40</v>
      </c>
      <c r="I791" s="23">
        <v>20549.650000000001</v>
      </c>
      <c r="J791" s="16">
        <v>24410.49</v>
      </c>
      <c r="K791" s="23">
        <v>1277</v>
      </c>
      <c r="L791" s="23"/>
      <c r="M791" s="23">
        <v>5772.97</v>
      </c>
      <c r="N791" s="47">
        <v>603.28</v>
      </c>
      <c r="O791" s="23">
        <f>+Table24[[#This Row],[FoodcostBlueline]]+Table24[[#This Row],[Pepsico]]</f>
        <v>6376.25</v>
      </c>
      <c r="P791" s="24">
        <f t="shared" si="32"/>
        <v>0.31028509001369853</v>
      </c>
      <c r="Q791" s="24"/>
      <c r="R791" s="23">
        <v>4206.7</v>
      </c>
      <c r="S791" s="25">
        <f t="shared" si="33"/>
        <v>0.20470908263644391</v>
      </c>
      <c r="T791" s="24"/>
      <c r="U791" s="36">
        <f>Table24[[#This Row],[WagesPercent]]+Table24[[#This Row],[FoodCostPercent]]</f>
        <v>0.51499417265014247</v>
      </c>
      <c r="V791" s="36"/>
    </row>
    <row r="792" spans="1:22" x14ac:dyDescent="0.25">
      <c r="A792" s="20">
        <v>791</v>
      </c>
      <c r="B792" s="21" t="s">
        <v>118</v>
      </c>
      <c r="C792" s="21" t="s">
        <v>117</v>
      </c>
      <c r="D792" s="6" t="s">
        <v>69</v>
      </c>
      <c r="E792" s="6">
        <v>3804018</v>
      </c>
      <c r="F792" s="6" t="s">
        <v>24</v>
      </c>
      <c r="G792" s="6" t="s">
        <v>20</v>
      </c>
      <c r="H792" s="6" t="s">
        <v>41</v>
      </c>
      <c r="I792" s="23">
        <v>24062.97</v>
      </c>
      <c r="J792" s="16">
        <v>22583.91</v>
      </c>
      <c r="K792" s="23">
        <v>1385</v>
      </c>
      <c r="L792" s="23"/>
      <c r="M792" s="23">
        <v>6064.53</v>
      </c>
      <c r="N792" s="47">
        <v>486.22</v>
      </c>
      <c r="O792" s="23">
        <f>+Table24[[#This Row],[FoodcostBlueline]]+Table24[[#This Row],[Pepsico]]</f>
        <v>6550.75</v>
      </c>
      <c r="P792" s="24">
        <f t="shared" si="32"/>
        <v>0.27223364364415531</v>
      </c>
      <c r="Q792" s="24"/>
      <c r="R792" s="23">
        <v>5193.07</v>
      </c>
      <c r="S792" s="25">
        <f t="shared" si="33"/>
        <v>0.21581168076924834</v>
      </c>
      <c r="T792" s="24"/>
      <c r="U792" s="36">
        <f>Table24[[#This Row],[WagesPercent]]+Table24[[#This Row],[FoodCostPercent]]</f>
        <v>0.48804532441340365</v>
      </c>
      <c r="V792" s="36"/>
    </row>
    <row r="793" spans="1:22" x14ac:dyDescent="0.25">
      <c r="A793" s="20">
        <v>792</v>
      </c>
      <c r="B793" s="21" t="s">
        <v>118</v>
      </c>
      <c r="C793" s="21" t="s">
        <v>117</v>
      </c>
      <c r="D793" s="6" t="s">
        <v>69</v>
      </c>
      <c r="E793" s="6">
        <v>3804019</v>
      </c>
      <c r="F793" s="6" t="s">
        <v>25</v>
      </c>
      <c r="G793" s="6" t="s">
        <v>20</v>
      </c>
      <c r="H793" s="6" t="s">
        <v>41</v>
      </c>
      <c r="I793" s="23">
        <v>16303.33</v>
      </c>
      <c r="J793" s="16">
        <v>14138.6</v>
      </c>
      <c r="K793" s="23">
        <v>969</v>
      </c>
      <c r="L793" s="23"/>
      <c r="M793" s="23">
        <v>4296.2700000000004</v>
      </c>
      <c r="N793" s="47">
        <v>280.62</v>
      </c>
      <c r="O793" s="23">
        <f>+Table24[[#This Row],[FoodcostBlueline]]+Table24[[#This Row],[Pepsico]]</f>
        <v>4576.8900000000003</v>
      </c>
      <c r="P793" s="24">
        <f t="shared" si="32"/>
        <v>0.28073344525320904</v>
      </c>
      <c r="Q793" s="24"/>
      <c r="R793" s="23">
        <v>3481.66</v>
      </c>
      <c r="S793" s="25">
        <f t="shared" si="33"/>
        <v>0.21355514486917704</v>
      </c>
      <c r="T793" s="24"/>
      <c r="U793" s="36">
        <f>Table24[[#This Row],[WagesPercent]]+Table24[[#This Row],[FoodCostPercent]]</f>
        <v>0.49428859012238607</v>
      </c>
      <c r="V793" s="36"/>
    </row>
    <row r="794" spans="1:22" x14ac:dyDescent="0.25">
      <c r="A794" s="20">
        <v>793</v>
      </c>
      <c r="B794" s="21" t="s">
        <v>118</v>
      </c>
      <c r="C794" s="21" t="s">
        <v>117</v>
      </c>
      <c r="D794" s="6" t="s">
        <v>69</v>
      </c>
      <c r="E794" s="6">
        <v>3804020</v>
      </c>
      <c r="F794" s="6" t="s">
        <v>26</v>
      </c>
      <c r="G794" s="6" t="s">
        <v>120</v>
      </c>
      <c r="H794" s="6" t="s">
        <v>40</v>
      </c>
      <c r="I794" s="23">
        <v>14448.12</v>
      </c>
      <c r="J794" s="16">
        <v>12612.1</v>
      </c>
      <c r="K794" s="23">
        <v>811</v>
      </c>
      <c r="L794" s="23"/>
      <c r="M794" s="23">
        <v>3490.24</v>
      </c>
      <c r="N794" s="47">
        <v>245.35</v>
      </c>
      <c r="O794" s="23">
        <f>+Table24[[#This Row],[FoodcostBlueline]]+Table24[[#This Row],[Pepsico]]</f>
        <v>3735.5899999999997</v>
      </c>
      <c r="P794" s="24">
        <f t="shared" si="32"/>
        <v>0.2585519776967522</v>
      </c>
      <c r="Q794" s="24"/>
      <c r="R794" s="23">
        <v>2678.04</v>
      </c>
      <c r="S794" s="25">
        <f t="shared" si="33"/>
        <v>0.18535560335877607</v>
      </c>
      <c r="T794" s="24"/>
      <c r="U794" s="36">
        <f>Table24[[#This Row],[WagesPercent]]+Table24[[#This Row],[FoodCostPercent]]</f>
        <v>0.4439075810555283</v>
      </c>
      <c r="V794" s="36"/>
    </row>
    <row r="795" spans="1:22" x14ac:dyDescent="0.25">
      <c r="A795" s="20">
        <v>794</v>
      </c>
      <c r="B795" s="21" t="s">
        <v>118</v>
      </c>
      <c r="C795" s="21" t="s">
        <v>117</v>
      </c>
      <c r="D795" s="6" t="s">
        <v>69</v>
      </c>
      <c r="E795" s="6">
        <v>3804021</v>
      </c>
      <c r="F795" s="6" t="s">
        <v>27</v>
      </c>
      <c r="G795" s="6" t="s">
        <v>120</v>
      </c>
      <c r="H795" s="6" t="s">
        <v>40</v>
      </c>
      <c r="I795" s="23">
        <v>21923.27</v>
      </c>
      <c r="J795" s="16">
        <v>28631.74</v>
      </c>
      <c r="K795" s="23">
        <v>1312</v>
      </c>
      <c r="L795" s="23"/>
      <c r="M795" s="23">
        <f>6175.98-12.35</f>
        <v>6163.6299999999992</v>
      </c>
      <c r="N795" s="47">
        <v>694.12</v>
      </c>
      <c r="O795" s="23">
        <f>+Table24[[#This Row],[FoodcostBlueline]]+Table24[[#This Row],[Pepsico]]</f>
        <v>6857.7499999999991</v>
      </c>
      <c r="P795" s="24">
        <f t="shared" si="32"/>
        <v>0.3128068942270017</v>
      </c>
      <c r="Q795" s="24"/>
      <c r="R795" s="23">
        <v>4330.09</v>
      </c>
      <c r="S795" s="25">
        <f t="shared" si="33"/>
        <v>0.19751113770892756</v>
      </c>
      <c r="T795" s="24"/>
      <c r="U795" s="36">
        <f>Table24[[#This Row],[WagesPercent]]+Table24[[#This Row],[FoodCostPercent]]</f>
        <v>0.51031803193592928</v>
      </c>
      <c r="V795" s="36"/>
    </row>
    <row r="796" spans="1:22" x14ac:dyDescent="0.25">
      <c r="A796" s="20">
        <v>795</v>
      </c>
      <c r="B796" s="21" t="s">
        <v>118</v>
      </c>
      <c r="C796" s="21" t="s">
        <v>117</v>
      </c>
      <c r="D796" s="6" t="s">
        <v>69</v>
      </c>
      <c r="E796" s="6">
        <v>3804022</v>
      </c>
      <c r="F796" s="6" t="s">
        <v>28</v>
      </c>
      <c r="G796" s="6" t="s">
        <v>120</v>
      </c>
      <c r="H796" s="6" t="s">
        <v>40</v>
      </c>
      <c r="I796" s="23">
        <v>14340.91</v>
      </c>
      <c r="J796" s="16">
        <v>16557.02</v>
      </c>
      <c r="K796" s="23">
        <v>842</v>
      </c>
      <c r="L796" s="23"/>
      <c r="M796" s="37">
        <v>4501.63</v>
      </c>
      <c r="N796" s="47">
        <v>232.11</v>
      </c>
      <c r="O796" s="23">
        <f>+Table24[[#This Row],[FoodcostBlueline]]+Table24[[#This Row],[Pepsico]]</f>
        <v>4733.74</v>
      </c>
      <c r="P796" s="24">
        <f t="shared" si="32"/>
        <v>0.33008644500244405</v>
      </c>
      <c r="Q796" s="24"/>
      <c r="R796" s="23">
        <f>3045.87+50</f>
        <v>3095.87</v>
      </c>
      <c r="S796" s="25">
        <f t="shared" si="33"/>
        <v>0.21587681674314949</v>
      </c>
      <c r="T796" s="24"/>
      <c r="U796" s="36">
        <f>Table24[[#This Row],[WagesPercent]]+Table24[[#This Row],[FoodCostPercent]]</f>
        <v>0.54596326174559351</v>
      </c>
      <c r="V796" s="36"/>
    </row>
    <row r="797" spans="1:22" x14ac:dyDescent="0.25">
      <c r="A797" s="20">
        <v>796</v>
      </c>
      <c r="B797" s="21" t="s">
        <v>118</v>
      </c>
      <c r="C797" s="21" t="s">
        <v>117</v>
      </c>
      <c r="D797" s="6" t="s">
        <v>69</v>
      </c>
      <c r="E797" s="6">
        <v>3804023</v>
      </c>
      <c r="F797" s="6" t="s">
        <v>29</v>
      </c>
      <c r="G797" s="6" t="s">
        <v>120</v>
      </c>
      <c r="H797" s="6" t="s">
        <v>40</v>
      </c>
      <c r="I797" s="23">
        <v>15372.13</v>
      </c>
      <c r="J797" s="16">
        <v>16923.509999999998</v>
      </c>
      <c r="K797" s="23">
        <v>946</v>
      </c>
      <c r="L797" s="23"/>
      <c r="M797" s="23">
        <f>4941.83-12.35</f>
        <v>4929.4799999999996</v>
      </c>
      <c r="N797" s="47">
        <v>425.04</v>
      </c>
      <c r="O797" s="23">
        <f>+Table24[[#This Row],[FoodcostBlueline]]+Table24[[#This Row],[Pepsico]]</f>
        <v>5354.5199999999995</v>
      </c>
      <c r="P797" s="24">
        <f t="shared" si="32"/>
        <v>0.34832648435838104</v>
      </c>
      <c r="Q797" s="24"/>
      <c r="R797" s="23">
        <v>3291.64</v>
      </c>
      <c r="S797" s="25">
        <f t="shared" si="33"/>
        <v>0.21413037750786651</v>
      </c>
      <c r="T797" s="24"/>
      <c r="U797" s="36">
        <f>Table24[[#This Row],[WagesPercent]]+Table24[[#This Row],[FoodCostPercent]]</f>
        <v>0.56245686186624755</v>
      </c>
      <c r="V797" s="36"/>
    </row>
    <row r="798" spans="1:22" x14ac:dyDescent="0.25">
      <c r="A798" s="20">
        <v>797</v>
      </c>
      <c r="B798" s="21" t="s">
        <v>118</v>
      </c>
      <c r="C798" s="21" t="s">
        <v>117</v>
      </c>
      <c r="D798" s="6" t="s">
        <v>69</v>
      </c>
      <c r="E798" s="6">
        <v>3804024</v>
      </c>
      <c r="F798" s="6" t="s">
        <v>30</v>
      </c>
      <c r="G798" s="6" t="s">
        <v>20</v>
      </c>
      <c r="H798" s="6" t="s">
        <v>41</v>
      </c>
      <c r="I798" s="23">
        <v>10821.34</v>
      </c>
      <c r="J798" s="16">
        <v>12021.95</v>
      </c>
      <c r="K798" s="23">
        <v>676</v>
      </c>
      <c r="L798" s="23"/>
      <c r="M798" s="23">
        <f>3100.14-12.35</f>
        <v>3087.79</v>
      </c>
      <c r="N798" s="47">
        <v>270.26</v>
      </c>
      <c r="O798" s="23">
        <f>+Table24[[#This Row],[FoodcostBlueline]]+Table24[[#This Row],[Pepsico]]</f>
        <v>3358.05</v>
      </c>
      <c r="P798" s="24">
        <f t="shared" si="32"/>
        <v>0.31031739137666869</v>
      </c>
      <c r="Q798" s="24"/>
      <c r="R798" s="23">
        <f>3127.5+69.23</f>
        <v>3196.73</v>
      </c>
      <c r="S798" s="25">
        <f t="shared" si="33"/>
        <v>0.29540981061495158</v>
      </c>
      <c r="T798" s="24"/>
      <c r="U798" s="36">
        <f>Table24[[#This Row],[WagesPercent]]+Table24[[#This Row],[FoodCostPercent]]</f>
        <v>0.60572720199162022</v>
      </c>
      <c r="V798" s="36"/>
    </row>
    <row r="799" spans="1:22" x14ac:dyDescent="0.25">
      <c r="A799" s="20">
        <v>798</v>
      </c>
      <c r="B799" s="21" t="s">
        <v>118</v>
      </c>
      <c r="C799" s="21" t="s">
        <v>117</v>
      </c>
      <c r="D799" s="6" t="s">
        <v>69</v>
      </c>
      <c r="E799" s="6">
        <v>3804025</v>
      </c>
      <c r="F799" s="6" t="s">
        <v>31</v>
      </c>
      <c r="G799" s="6" t="s">
        <v>20</v>
      </c>
      <c r="H799" s="6" t="s">
        <v>41</v>
      </c>
      <c r="I799" s="23">
        <v>29199.37</v>
      </c>
      <c r="J799" s="16">
        <v>28419.85</v>
      </c>
      <c r="K799" s="23">
        <v>1773</v>
      </c>
      <c r="L799" s="23"/>
      <c r="M799" s="23">
        <v>7853.17</v>
      </c>
      <c r="N799" s="47">
        <v>545.29</v>
      </c>
      <c r="O799" s="23">
        <f>+Table24[[#This Row],[FoodcostBlueline]]+Table24[[#This Row],[Pepsico]]</f>
        <v>8398.4599999999991</v>
      </c>
      <c r="P799" s="24">
        <f t="shared" si="32"/>
        <v>0.28762469875206209</v>
      </c>
      <c r="Q799" s="24"/>
      <c r="R799" s="23">
        <v>5812.04</v>
      </c>
      <c r="S799" s="25">
        <f t="shared" si="33"/>
        <v>0.19904676025544388</v>
      </c>
      <c r="T799" s="24"/>
      <c r="U799" s="36">
        <f>Table24[[#This Row],[WagesPercent]]+Table24[[#This Row],[FoodCostPercent]]</f>
        <v>0.48667145900750597</v>
      </c>
      <c r="V799" s="36"/>
    </row>
    <row r="800" spans="1:22" x14ac:dyDescent="0.25">
      <c r="A800" s="20">
        <v>799</v>
      </c>
      <c r="B800" s="21" t="s">
        <v>118</v>
      </c>
      <c r="C800" s="21" t="s">
        <v>117</v>
      </c>
      <c r="D800" s="6" t="s">
        <v>69</v>
      </c>
      <c r="E800" s="6">
        <v>3804026</v>
      </c>
      <c r="F800" s="6" t="s">
        <v>32</v>
      </c>
      <c r="G800" s="6" t="s">
        <v>79</v>
      </c>
      <c r="H800" s="6" t="s">
        <v>41</v>
      </c>
      <c r="I800" s="23">
        <v>13890.92</v>
      </c>
      <c r="J800" s="16">
        <v>12717.55</v>
      </c>
      <c r="K800" s="23">
        <v>795</v>
      </c>
      <c r="L800" s="23"/>
      <c r="M800" s="23">
        <v>3967.62</v>
      </c>
      <c r="N800" s="47">
        <v>360.98</v>
      </c>
      <c r="O800" s="23">
        <f>+Table24[[#This Row],[FoodcostBlueline]]+Table24[[#This Row],[Pepsico]]</f>
        <v>4328.6000000000004</v>
      </c>
      <c r="P800" s="24">
        <f t="shared" si="32"/>
        <v>0.31161362962280398</v>
      </c>
      <c r="Q800" s="24"/>
      <c r="R800" s="23">
        <v>3709.83</v>
      </c>
      <c r="S800" s="25">
        <f t="shared" si="33"/>
        <v>0.26706870387274562</v>
      </c>
      <c r="T800" s="24"/>
      <c r="U800" s="36">
        <f>Table24[[#This Row],[WagesPercent]]+Table24[[#This Row],[FoodCostPercent]]</f>
        <v>0.57868233349554954</v>
      </c>
      <c r="V800" s="36"/>
    </row>
    <row r="801" spans="1:22" x14ac:dyDescent="0.25">
      <c r="A801" s="20">
        <v>800</v>
      </c>
      <c r="B801" s="21" t="s">
        <v>118</v>
      </c>
      <c r="C801" s="21" t="s">
        <v>117</v>
      </c>
      <c r="D801" s="6" t="s">
        <v>69</v>
      </c>
      <c r="E801" s="6">
        <v>3804027</v>
      </c>
      <c r="F801" s="6" t="s">
        <v>33</v>
      </c>
      <c r="G801" s="6" t="s">
        <v>43</v>
      </c>
      <c r="H801" s="6" t="s">
        <v>41</v>
      </c>
      <c r="I801" s="23">
        <v>19302.29</v>
      </c>
      <c r="J801" s="16">
        <v>15595.09</v>
      </c>
      <c r="K801" s="23">
        <v>1307</v>
      </c>
      <c r="L801" s="23"/>
      <c r="M801" s="23">
        <v>4965.45</v>
      </c>
      <c r="N801" s="47">
        <v>172.12</v>
      </c>
      <c r="O801" s="23">
        <f>+Table24[[#This Row],[FoodcostBlueline]]+Table24[[#This Row],[Pepsico]]</f>
        <v>5137.57</v>
      </c>
      <c r="P801" s="24">
        <f t="shared" si="32"/>
        <v>0.26616375569945327</v>
      </c>
      <c r="Q801" s="24"/>
      <c r="R801" s="23">
        <f>1754.38+377+2807</f>
        <v>4938.38</v>
      </c>
      <c r="S801" s="25">
        <f t="shared" si="33"/>
        <v>0.25584425474904793</v>
      </c>
      <c r="T801" s="24"/>
      <c r="U801" s="36">
        <f>Table24[[#This Row],[WagesPercent]]+Table24[[#This Row],[FoodCostPercent]]</f>
        <v>0.5220080104485012</v>
      </c>
      <c r="V801" s="36"/>
    </row>
    <row r="802" spans="1:22" x14ac:dyDescent="0.25">
      <c r="A802" s="20">
        <v>801</v>
      </c>
      <c r="B802" s="21" t="s">
        <v>118</v>
      </c>
      <c r="C802" s="21" t="s">
        <v>117</v>
      </c>
      <c r="D802" s="6" t="s">
        <v>69</v>
      </c>
      <c r="E802" s="6">
        <v>3804029</v>
      </c>
      <c r="F802" s="6" t="s">
        <v>34</v>
      </c>
      <c r="G802" s="6" t="s">
        <v>43</v>
      </c>
      <c r="H802" s="6" t="s">
        <v>41</v>
      </c>
      <c r="I802" s="23">
        <v>11055.73</v>
      </c>
      <c r="J802" s="16">
        <v>10667.64</v>
      </c>
      <c r="K802" s="23">
        <v>669</v>
      </c>
      <c r="L802" s="23"/>
      <c r="M802" s="23">
        <f>3030.2+397.33</f>
        <v>3427.5299999999997</v>
      </c>
      <c r="N802" s="47">
        <v>0</v>
      </c>
      <c r="O802" s="23">
        <f>+Table24[[#This Row],[FoodcostBlueline]]+Table24[[#This Row],[Pepsico]]</f>
        <v>3427.5299999999997</v>
      </c>
      <c r="P802" s="24">
        <f t="shared" si="32"/>
        <v>0.31002294737660924</v>
      </c>
      <c r="Q802" s="24"/>
      <c r="R802" s="23">
        <v>1271.55</v>
      </c>
      <c r="S802" s="25">
        <f t="shared" si="33"/>
        <v>0.11501275809014873</v>
      </c>
      <c r="T802" s="24"/>
      <c r="U802" s="36">
        <f>Table24[[#This Row],[WagesPercent]]+Table24[[#This Row],[FoodCostPercent]]</f>
        <v>0.42503570546675795</v>
      </c>
      <c r="V802" s="36"/>
    </row>
    <row r="803" spans="1:22" x14ac:dyDescent="0.25">
      <c r="A803" s="20">
        <v>802</v>
      </c>
      <c r="B803" s="21" t="s">
        <v>118</v>
      </c>
      <c r="C803" s="21" t="s">
        <v>117</v>
      </c>
      <c r="D803" s="6" t="s">
        <v>69</v>
      </c>
      <c r="E803" s="6">
        <v>3804030</v>
      </c>
      <c r="F803" s="6" t="s">
        <v>35</v>
      </c>
      <c r="G803" s="6" t="s">
        <v>5</v>
      </c>
      <c r="H803" s="6" t="s">
        <v>40</v>
      </c>
      <c r="I803" s="23">
        <v>9894.35</v>
      </c>
      <c r="J803" s="16">
        <v>9060</v>
      </c>
      <c r="K803" s="23">
        <v>562</v>
      </c>
      <c r="L803" s="23"/>
      <c r="M803" s="23">
        <f>279.53+2565.27</f>
        <v>2844.8</v>
      </c>
      <c r="N803" s="47">
        <v>165.78</v>
      </c>
      <c r="O803" s="23">
        <f>+Table24[[#This Row],[FoodcostBlueline]]+Table24[[#This Row],[Pepsico]]</f>
        <v>3010.5800000000004</v>
      </c>
      <c r="P803" s="24">
        <f t="shared" si="32"/>
        <v>0.30427264044631536</v>
      </c>
      <c r="Q803" s="24"/>
      <c r="R803" s="23">
        <v>2562.34</v>
      </c>
      <c r="S803" s="25">
        <f t="shared" si="33"/>
        <v>0.25897001824273447</v>
      </c>
      <c r="T803" s="24"/>
      <c r="U803" s="36">
        <f>Table24[[#This Row],[WagesPercent]]+Table24[[#This Row],[FoodCostPercent]]</f>
        <v>0.56324265868904977</v>
      </c>
      <c r="V803" s="36"/>
    </row>
    <row r="804" spans="1:22" x14ac:dyDescent="0.25">
      <c r="A804" s="20">
        <v>803</v>
      </c>
      <c r="B804" s="21" t="s">
        <v>118</v>
      </c>
      <c r="C804" s="21" t="s">
        <v>117</v>
      </c>
      <c r="D804" s="6" t="s">
        <v>69</v>
      </c>
      <c r="E804" s="6">
        <v>3804031</v>
      </c>
      <c r="F804" s="6" t="s">
        <v>36</v>
      </c>
      <c r="G804" s="6" t="s">
        <v>5</v>
      </c>
      <c r="H804" s="6" t="s">
        <v>40</v>
      </c>
      <c r="I804" s="23">
        <v>12039.88</v>
      </c>
      <c r="J804" s="16">
        <v>8832.07</v>
      </c>
      <c r="K804" s="23">
        <v>764</v>
      </c>
      <c r="L804" s="23"/>
      <c r="M804" s="37">
        <v>3039.78</v>
      </c>
      <c r="N804" s="47">
        <v>199.16</v>
      </c>
      <c r="O804" s="23">
        <f>+Table24[[#This Row],[FoodcostBlueline]]+Table24[[#This Row],[Pepsico]]</f>
        <v>3238.94</v>
      </c>
      <c r="P804" s="24">
        <f t="shared" si="32"/>
        <v>0.26901763140496421</v>
      </c>
      <c r="Q804" s="24"/>
      <c r="R804" s="37">
        <f>1886.48+137</f>
        <v>2023.48</v>
      </c>
      <c r="S804" s="25">
        <f t="shared" si="33"/>
        <v>0.16806479798801982</v>
      </c>
      <c r="T804" s="24"/>
      <c r="U804" s="36">
        <f>Table24[[#This Row],[WagesPercent]]+Table24[[#This Row],[FoodCostPercent]]</f>
        <v>0.43708242939298403</v>
      </c>
      <c r="V804" s="36"/>
    </row>
    <row r="805" spans="1:22" x14ac:dyDescent="0.25">
      <c r="A805" s="20">
        <v>804</v>
      </c>
      <c r="B805" s="21" t="s">
        <v>118</v>
      </c>
      <c r="C805" s="21" t="s">
        <v>117</v>
      </c>
      <c r="D805" s="6" t="s">
        <v>69</v>
      </c>
      <c r="E805" s="6">
        <v>3804032</v>
      </c>
      <c r="F805" s="6" t="s">
        <v>37</v>
      </c>
      <c r="G805" s="6" t="s">
        <v>5</v>
      </c>
      <c r="H805" s="6" t="s">
        <v>40</v>
      </c>
      <c r="I805" s="37">
        <v>11560.34</v>
      </c>
      <c r="J805" s="16">
        <v>6858.76</v>
      </c>
      <c r="K805" s="23">
        <v>673</v>
      </c>
      <c r="L805" s="23"/>
      <c r="M805" s="23">
        <v>3677.53</v>
      </c>
      <c r="N805" s="47">
        <v>202.33</v>
      </c>
      <c r="O805" s="23">
        <f>+Table24[[#This Row],[FoodcostBlueline]]+Table24[[#This Row],[Pepsico]]</f>
        <v>3879.86</v>
      </c>
      <c r="P805" s="24">
        <f t="shared" si="32"/>
        <v>0.33561815655940919</v>
      </c>
      <c r="Q805" s="24"/>
      <c r="R805" s="23">
        <f>1350+850+200</f>
        <v>2400</v>
      </c>
      <c r="S805" s="25">
        <f t="shared" si="33"/>
        <v>0.20760635067826724</v>
      </c>
      <c r="T805" s="24"/>
      <c r="U805" s="36">
        <f>Table24[[#This Row],[WagesPercent]]+Table24[[#This Row],[FoodCostPercent]]</f>
        <v>0.54322450723767646</v>
      </c>
      <c r="V805" s="36"/>
    </row>
    <row r="806" spans="1:22" x14ac:dyDescent="0.25">
      <c r="A806" s="20">
        <v>805</v>
      </c>
      <c r="B806" s="21" t="s">
        <v>118</v>
      </c>
      <c r="C806" s="21" t="s">
        <v>117</v>
      </c>
      <c r="D806" s="6" t="s">
        <v>69</v>
      </c>
      <c r="E806" s="6">
        <v>3804033</v>
      </c>
      <c r="F806" s="6" t="s">
        <v>38</v>
      </c>
      <c r="G806" s="6" t="s">
        <v>5</v>
      </c>
      <c r="H806" s="6" t="s">
        <v>40</v>
      </c>
      <c r="I806" s="23">
        <v>8777.07</v>
      </c>
      <c r="J806" s="16">
        <v>8750.17</v>
      </c>
      <c r="K806" s="23">
        <v>617</v>
      </c>
      <c r="L806" s="23"/>
      <c r="M806" s="23">
        <v>2581.96</v>
      </c>
      <c r="N806" s="47">
        <v>223.03</v>
      </c>
      <c r="O806" s="23">
        <f>+Table24[[#This Row],[FoodcostBlueline]]+Table24[[#This Row],[Pepsico]]</f>
        <v>2804.9900000000002</v>
      </c>
      <c r="P806" s="24">
        <f t="shared" si="32"/>
        <v>0.3195815915789666</v>
      </c>
      <c r="Q806" s="24"/>
      <c r="R806" s="23">
        <f>1728.39+600+165.58</f>
        <v>2493.9700000000003</v>
      </c>
      <c r="S806" s="25">
        <f t="shared" si="33"/>
        <v>0.28414607608233733</v>
      </c>
      <c r="T806" s="24"/>
      <c r="U806" s="36">
        <f>Table24[[#This Row],[WagesPercent]]+Table24[[#This Row],[FoodCostPercent]]</f>
        <v>0.60372766766130392</v>
      </c>
      <c r="V806" s="36"/>
    </row>
    <row r="807" spans="1:22" x14ac:dyDescent="0.25">
      <c r="A807" s="20">
        <v>806</v>
      </c>
      <c r="B807" s="21" t="s">
        <v>118</v>
      </c>
      <c r="C807" s="21" t="s">
        <v>117</v>
      </c>
      <c r="D807" s="6" t="s">
        <v>69</v>
      </c>
      <c r="E807" s="6">
        <v>3804034</v>
      </c>
      <c r="F807" s="6" t="s">
        <v>53</v>
      </c>
      <c r="G807" s="6" t="s">
        <v>79</v>
      </c>
      <c r="H807" s="6" t="s">
        <v>41</v>
      </c>
      <c r="I807" s="23">
        <v>4699.25</v>
      </c>
      <c r="J807" s="16">
        <v>12839.33</v>
      </c>
      <c r="K807" s="23">
        <v>259</v>
      </c>
      <c r="L807" s="23"/>
      <c r="M807" s="23">
        <v>2357.7800000000002</v>
      </c>
      <c r="N807" s="47">
        <v>284.83</v>
      </c>
      <c r="O807" s="23">
        <f>+Table24[[#This Row],[FoodcostBlueline]]+Table24[[#This Row],[Pepsico]]</f>
        <v>2642.61</v>
      </c>
      <c r="P807" s="24">
        <f t="shared" si="32"/>
        <v>0.56234718306112685</v>
      </c>
      <c r="Q807" s="24"/>
      <c r="R807" s="23">
        <f>468+2400</f>
        <v>2868</v>
      </c>
      <c r="S807" s="25">
        <f t="shared" si="33"/>
        <v>0.61031015587593762</v>
      </c>
      <c r="T807" s="24"/>
      <c r="U807" s="36">
        <f>Table24[[#This Row],[WagesPercent]]+Table24[[#This Row],[FoodCostPercent]]</f>
        <v>1.1726573389370645</v>
      </c>
      <c r="V807" s="36"/>
    </row>
    <row r="808" spans="1:22" x14ac:dyDescent="0.25">
      <c r="A808" s="20">
        <v>807</v>
      </c>
      <c r="B808" s="21" t="s">
        <v>121</v>
      </c>
      <c r="C808" s="21" t="s">
        <v>117</v>
      </c>
      <c r="D808" s="6" t="s">
        <v>70</v>
      </c>
      <c r="E808" s="6">
        <v>3804001</v>
      </c>
      <c r="F808" s="6" t="s">
        <v>4</v>
      </c>
      <c r="G808" s="6" t="s">
        <v>5</v>
      </c>
      <c r="H808" s="6" t="s">
        <v>40</v>
      </c>
      <c r="I808" s="23">
        <v>26377.58</v>
      </c>
      <c r="J808" s="23">
        <v>26756.04</v>
      </c>
      <c r="K808" s="23">
        <v>1676</v>
      </c>
      <c r="L808" s="23"/>
      <c r="M808" s="23">
        <f>7915.06-42.25-60</f>
        <v>7812.81</v>
      </c>
      <c r="N808" s="47">
        <v>0</v>
      </c>
      <c r="O808" s="23">
        <f>+Table24[[#This Row],[FoodcostBlueline]]+Table24[[#This Row],[Pepsico]]</f>
        <v>7812.81</v>
      </c>
      <c r="P808" s="24">
        <f t="shared" si="32"/>
        <v>0.29619131095422702</v>
      </c>
      <c r="Q808" s="24"/>
      <c r="R808" s="23">
        <f>6075.41+165.58</f>
        <v>6240.99</v>
      </c>
      <c r="S808" s="25">
        <f t="shared" si="33"/>
        <v>0.23660206887819124</v>
      </c>
      <c r="T808" s="24"/>
      <c r="U808" s="36">
        <f>Table24[[#This Row],[WagesPercent]]+Table24[[#This Row],[FoodCostPercent]]</f>
        <v>0.53279337983241826</v>
      </c>
      <c r="V808" s="36"/>
    </row>
    <row r="809" spans="1:22" x14ac:dyDescent="0.25">
      <c r="A809" s="20">
        <v>808</v>
      </c>
      <c r="B809" s="21" t="s">
        <v>121</v>
      </c>
      <c r="C809" s="21" t="s">
        <v>117</v>
      </c>
      <c r="D809" s="6" t="s">
        <v>70</v>
      </c>
      <c r="E809" s="6">
        <v>3804002</v>
      </c>
      <c r="F809" s="6" t="s">
        <v>6</v>
      </c>
      <c r="G809" s="6" t="s">
        <v>7</v>
      </c>
      <c r="H809" s="6" t="s">
        <v>41</v>
      </c>
      <c r="I809" s="23">
        <v>12603.52</v>
      </c>
      <c r="J809" s="23">
        <v>12569.71</v>
      </c>
      <c r="K809" s="23">
        <v>976</v>
      </c>
      <c r="L809" s="23"/>
      <c r="M809" s="23">
        <f>3513.51-42</f>
        <v>3471.51</v>
      </c>
      <c r="N809" s="47">
        <v>0</v>
      </c>
      <c r="O809" s="23">
        <f>+Table24[[#This Row],[FoodcostBlueline]]+Table24[[#This Row],[Pepsico]]</f>
        <v>3471.51</v>
      </c>
      <c r="P809" s="24">
        <f t="shared" si="32"/>
        <v>0.2754397184278678</v>
      </c>
      <c r="Q809" s="24"/>
      <c r="R809" s="23">
        <v>3369.91</v>
      </c>
      <c r="S809" s="25">
        <f t="shared" si="33"/>
        <v>0.26737847839333773</v>
      </c>
      <c r="T809" s="24"/>
      <c r="U809" s="36">
        <f>Table24[[#This Row],[WagesPercent]]+Table24[[#This Row],[FoodCostPercent]]</f>
        <v>0.54281819682120558</v>
      </c>
      <c r="V809" s="36"/>
    </row>
    <row r="810" spans="1:22" x14ac:dyDescent="0.25">
      <c r="A810" s="20">
        <v>809</v>
      </c>
      <c r="B810" s="21" t="s">
        <v>121</v>
      </c>
      <c r="C810" s="21" t="s">
        <v>117</v>
      </c>
      <c r="D810" s="6" t="s">
        <v>70</v>
      </c>
      <c r="E810" s="6">
        <v>3804003</v>
      </c>
      <c r="F810" s="6" t="s">
        <v>8</v>
      </c>
      <c r="G810" s="6" t="s">
        <v>7</v>
      </c>
      <c r="H810" s="6" t="s">
        <v>41</v>
      </c>
      <c r="I810" s="23">
        <v>10330.93</v>
      </c>
      <c r="J810" s="23">
        <v>11311.69</v>
      </c>
      <c r="K810" s="23">
        <v>705</v>
      </c>
      <c r="L810" s="23"/>
      <c r="M810" s="23">
        <f>1485.34-24</f>
        <v>1461.34</v>
      </c>
      <c r="N810" s="47">
        <v>0</v>
      </c>
      <c r="O810" s="23">
        <f>+Table24[[#This Row],[FoodcostBlueline]]+Table24[[#This Row],[Pepsico]]</f>
        <v>1461.34</v>
      </c>
      <c r="P810" s="24">
        <f t="shared" si="32"/>
        <v>0.14145289920655738</v>
      </c>
      <c r="Q810" s="24"/>
      <c r="R810" s="23">
        <v>3518.87</v>
      </c>
      <c r="S810" s="25">
        <f t="shared" si="33"/>
        <v>0.34061502691432427</v>
      </c>
      <c r="T810" s="24"/>
      <c r="U810" s="36">
        <f>Table24[[#This Row],[WagesPercent]]+Table24[[#This Row],[FoodCostPercent]]</f>
        <v>0.48206792612088167</v>
      </c>
      <c r="V810" s="36"/>
    </row>
    <row r="811" spans="1:22" x14ac:dyDescent="0.25">
      <c r="A811" s="20">
        <v>810</v>
      </c>
      <c r="B811" s="21" t="s">
        <v>121</v>
      </c>
      <c r="C811" s="21" t="s">
        <v>117</v>
      </c>
      <c r="D811" s="6" t="s">
        <v>70</v>
      </c>
      <c r="E811" s="6">
        <v>3804004</v>
      </c>
      <c r="F811" s="6" t="s">
        <v>9</v>
      </c>
      <c r="G811" s="6" t="s">
        <v>7</v>
      </c>
      <c r="H811" s="6" t="s">
        <v>41</v>
      </c>
      <c r="I811" s="23">
        <v>14448.8</v>
      </c>
      <c r="J811" s="23">
        <v>16346.65</v>
      </c>
      <c r="K811" s="23">
        <v>1026</v>
      </c>
      <c r="L811" s="23"/>
      <c r="M811" s="23">
        <f>4358.41-27</f>
        <v>4331.41</v>
      </c>
      <c r="N811" s="47">
        <v>447.02</v>
      </c>
      <c r="O811" s="23">
        <f>+Table24[[#This Row],[FoodcostBlueline]]+Table24[[#This Row],[Pepsico]]</f>
        <v>4778.43</v>
      </c>
      <c r="P811" s="24">
        <f t="shared" si="32"/>
        <v>0.33071466142517031</v>
      </c>
      <c r="Q811" s="24"/>
      <c r="R811" s="23">
        <v>3722.12</v>
      </c>
      <c r="S811" s="25">
        <f t="shared" si="33"/>
        <v>0.25760755218426445</v>
      </c>
      <c r="T811" s="24"/>
      <c r="U811" s="36">
        <f>Table24[[#This Row],[WagesPercent]]+Table24[[#This Row],[FoodCostPercent]]</f>
        <v>0.58832221360943482</v>
      </c>
      <c r="V811" s="36"/>
    </row>
    <row r="812" spans="1:22" x14ac:dyDescent="0.25">
      <c r="A812" s="20">
        <v>811</v>
      </c>
      <c r="B812" s="21" t="s">
        <v>121</v>
      </c>
      <c r="C812" s="21" t="s">
        <v>117</v>
      </c>
      <c r="D812" s="6" t="s">
        <v>70</v>
      </c>
      <c r="E812" s="6">
        <v>3804005</v>
      </c>
      <c r="F812" s="6" t="s">
        <v>10</v>
      </c>
      <c r="G812" s="6" t="s">
        <v>7</v>
      </c>
      <c r="H812" s="6" t="s">
        <v>41</v>
      </c>
      <c r="I812" s="23">
        <v>11391.63</v>
      </c>
      <c r="J812" s="23">
        <v>14153.97</v>
      </c>
      <c r="K812" s="23">
        <v>731</v>
      </c>
      <c r="L812" s="23"/>
      <c r="M812" s="23">
        <f>3434.92-37+168.48</f>
        <v>3566.4</v>
      </c>
      <c r="N812" s="47">
        <v>1007.61</v>
      </c>
      <c r="O812" s="23">
        <f>+Table24[[#This Row],[FoodcostBlueline]]+Table24[[#This Row],[Pepsico]]</f>
        <v>4574.01</v>
      </c>
      <c r="P812" s="24">
        <f t="shared" si="32"/>
        <v>0.401523750332481</v>
      </c>
      <c r="Q812" s="24"/>
      <c r="R812" s="23">
        <f>2582.48+80</f>
        <v>2662.48</v>
      </c>
      <c r="S812" s="25">
        <f t="shared" si="33"/>
        <v>0.23372247869707849</v>
      </c>
      <c r="T812" s="24"/>
      <c r="U812" s="36">
        <f>Table24[[#This Row],[WagesPercent]]+Table24[[#This Row],[FoodCostPercent]]</f>
        <v>0.63524622902955952</v>
      </c>
      <c r="V812" s="36"/>
    </row>
    <row r="813" spans="1:22" x14ac:dyDescent="0.25">
      <c r="A813" s="20">
        <v>812</v>
      </c>
      <c r="B813" s="21" t="s">
        <v>121</v>
      </c>
      <c r="C813" s="21" t="s">
        <v>117</v>
      </c>
      <c r="D813" s="6" t="s">
        <v>70</v>
      </c>
      <c r="E813" s="6">
        <v>3804006</v>
      </c>
      <c r="F813" s="6" t="s">
        <v>11</v>
      </c>
      <c r="G813" s="6" t="s">
        <v>7</v>
      </c>
      <c r="H813" s="6" t="s">
        <v>41</v>
      </c>
      <c r="I813" s="23">
        <v>8456.68</v>
      </c>
      <c r="J813" s="23">
        <v>10092.19</v>
      </c>
      <c r="K813" s="23">
        <v>594</v>
      </c>
      <c r="L813" s="23"/>
      <c r="M813" s="23">
        <f>2454.94-94.35-33</f>
        <v>2327.59</v>
      </c>
      <c r="N813" s="47">
        <v>425.67</v>
      </c>
      <c r="O813" s="23">
        <f>+Table24[[#This Row],[FoodcostBlueline]]+Table24[[#This Row],[Pepsico]]</f>
        <v>2753.26</v>
      </c>
      <c r="P813" s="24">
        <f t="shared" si="32"/>
        <v>0.325572210370973</v>
      </c>
      <c r="Q813" s="24"/>
      <c r="R813" s="23">
        <v>1633.37</v>
      </c>
      <c r="S813" s="25">
        <f t="shared" si="33"/>
        <v>0.19314553701925577</v>
      </c>
      <c r="T813" s="24"/>
      <c r="U813" s="36">
        <f>Table24[[#This Row],[WagesPercent]]+Table24[[#This Row],[FoodCostPercent]]</f>
        <v>0.5187177473902288</v>
      </c>
      <c r="V813" s="36"/>
    </row>
    <row r="814" spans="1:22" x14ac:dyDescent="0.25">
      <c r="A814" s="20">
        <v>813</v>
      </c>
      <c r="B814" s="21" t="s">
        <v>121</v>
      </c>
      <c r="C814" s="21" t="s">
        <v>117</v>
      </c>
      <c r="D814" s="6" t="s">
        <v>70</v>
      </c>
      <c r="E814" s="6">
        <v>3804008</v>
      </c>
      <c r="F814" s="6" t="s">
        <v>12</v>
      </c>
      <c r="G814" s="6" t="s">
        <v>42</v>
      </c>
      <c r="H814" s="6" t="s">
        <v>41</v>
      </c>
      <c r="I814" s="23">
        <v>22140.22</v>
      </c>
      <c r="J814" s="23">
        <v>23521.599999999999</v>
      </c>
      <c r="K814" s="23">
        <v>1348</v>
      </c>
      <c r="L814" s="23"/>
      <c r="M814" s="23">
        <f>6002.44+24.38-88</f>
        <v>5938.82</v>
      </c>
      <c r="N814" s="47">
        <v>437.25</v>
      </c>
      <c r="O814" s="23">
        <f>+Table24[[#This Row],[FoodcostBlueline]]+Table24[[#This Row],[Pepsico]]</f>
        <v>6376.07</v>
      </c>
      <c r="P814" s="24">
        <f t="shared" si="32"/>
        <v>0.28798584657243692</v>
      </c>
      <c r="Q814" s="24"/>
      <c r="R814" s="23">
        <f>2100+300+5749</f>
        <v>8149</v>
      </c>
      <c r="S814" s="25">
        <f t="shared" si="33"/>
        <v>0.36806318997733534</v>
      </c>
      <c r="T814" s="24"/>
      <c r="U814" s="36">
        <f>Table24[[#This Row],[WagesPercent]]+Table24[[#This Row],[FoodCostPercent]]</f>
        <v>0.6560490365497722</v>
      </c>
      <c r="V814" s="36"/>
    </row>
    <row r="815" spans="1:22" x14ac:dyDescent="0.25">
      <c r="A815" s="20">
        <v>814</v>
      </c>
      <c r="B815" s="21" t="s">
        <v>121</v>
      </c>
      <c r="C815" s="21" t="s">
        <v>117</v>
      </c>
      <c r="D815" s="6" t="s">
        <v>70</v>
      </c>
      <c r="E815" s="6">
        <v>3804009</v>
      </c>
      <c r="F815" s="6" t="s">
        <v>13</v>
      </c>
      <c r="G815" s="6" t="s">
        <v>42</v>
      </c>
      <c r="H815" s="6" t="s">
        <v>41</v>
      </c>
      <c r="I815" s="23">
        <v>15115.1</v>
      </c>
      <c r="J815" s="23">
        <v>15299.78</v>
      </c>
      <c r="K815" s="23">
        <v>909</v>
      </c>
      <c r="L815" s="23"/>
      <c r="M815" s="23">
        <f>4460.52-75</f>
        <v>4385.5200000000004</v>
      </c>
      <c r="N815" s="47">
        <v>0</v>
      </c>
      <c r="O815" s="23">
        <f>+Table24[[#This Row],[FoodcostBlueline]]+Table24[[#This Row],[Pepsico]]</f>
        <v>4385.5200000000004</v>
      </c>
      <c r="P815" s="24">
        <f t="shared" si="32"/>
        <v>0.29014164643303719</v>
      </c>
      <c r="Q815" s="24"/>
      <c r="R815" s="23">
        <f>1525.72+500+2532</f>
        <v>4557.72</v>
      </c>
      <c r="S815" s="25">
        <f t="shared" si="33"/>
        <v>0.30153422736204194</v>
      </c>
      <c r="T815" s="24"/>
      <c r="U815" s="36">
        <f>Table24[[#This Row],[WagesPercent]]+Table24[[#This Row],[FoodCostPercent]]</f>
        <v>0.59167587379507913</v>
      </c>
      <c r="V815" s="36"/>
    </row>
    <row r="816" spans="1:22" x14ac:dyDescent="0.25">
      <c r="A816" s="20">
        <v>815</v>
      </c>
      <c r="B816" s="21" t="s">
        <v>121</v>
      </c>
      <c r="C816" s="21" t="s">
        <v>117</v>
      </c>
      <c r="D816" s="6" t="s">
        <v>70</v>
      </c>
      <c r="E816" s="6">
        <v>3804010</v>
      </c>
      <c r="F816" s="6" t="s">
        <v>14</v>
      </c>
      <c r="G816" s="6" t="s">
        <v>122</v>
      </c>
      <c r="H816" s="6" t="s">
        <v>41</v>
      </c>
      <c r="I816" s="23">
        <v>6858.04</v>
      </c>
      <c r="J816" s="23">
        <v>1112</v>
      </c>
      <c r="K816" s="23">
        <v>385</v>
      </c>
      <c r="L816" s="23"/>
      <c r="M816" s="23">
        <f>109.13+1647.96-45+621</f>
        <v>2333.09</v>
      </c>
      <c r="N816" s="47">
        <v>0</v>
      </c>
      <c r="O816" s="23">
        <f>+Table24[[#This Row],[FoodcostBlueline]]+Table24[[#This Row],[Pepsico]]</f>
        <v>2333.09</v>
      </c>
      <c r="P816" s="24">
        <f t="shared" si="32"/>
        <v>0.34019778245679527</v>
      </c>
      <c r="Q816" s="24"/>
      <c r="R816" s="23">
        <f>2440.29+250</f>
        <v>2690.29</v>
      </c>
      <c r="S816" s="25">
        <f t="shared" si="33"/>
        <v>0.39228263468862823</v>
      </c>
      <c r="T816" s="24"/>
      <c r="U816" s="36">
        <f>Table24[[#This Row],[WagesPercent]]+Table24[[#This Row],[FoodCostPercent]]</f>
        <v>0.73248041714542356</v>
      </c>
      <c r="V816" s="36"/>
    </row>
    <row r="817" spans="1:22" x14ac:dyDescent="0.25">
      <c r="A817" s="20">
        <v>816</v>
      </c>
      <c r="B817" s="21" t="s">
        <v>121</v>
      </c>
      <c r="C817" s="21" t="s">
        <v>117</v>
      </c>
      <c r="D817" s="6" t="s">
        <v>70</v>
      </c>
      <c r="E817" s="6">
        <v>3804011</v>
      </c>
      <c r="F817" s="6" t="s">
        <v>15</v>
      </c>
      <c r="G817" s="6" t="s">
        <v>79</v>
      </c>
      <c r="H817" s="6" t="s">
        <v>41</v>
      </c>
      <c r="I817" s="23">
        <v>30644.5</v>
      </c>
      <c r="J817" s="23">
        <v>26184.41</v>
      </c>
      <c r="K817" s="23">
        <v>1902</v>
      </c>
      <c r="L817" s="23"/>
      <c r="M817" s="23">
        <f>7967.1-62</f>
        <v>7905.1</v>
      </c>
      <c r="N817" s="47">
        <v>469.82</v>
      </c>
      <c r="O817" s="23">
        <f>+Table24[[#This Row],[FoodcostBlueline]]+Table24[[#This Row],[Pepsico]]</f>
        <v>8374.92</v>
      </c>
      <c r="P817" s="24">
        <f t="shared" si="32"/>
        <v>0.27329276052799034</v>
      </c>
      <c r="Q817" s="24"/>
      <c r="R817" s="23">
        <v>2816.59</v>
      </c>
      <c r="S817" s="25">
        <f t="shared" si="33"/>
        <v>9.1911762306449776E-2</v>
      </c>
      <c r="T817" s="24"/>
      <c r="U817" s="36">
        <f>Table24[[#This Row],[WagesPercent]]+Table24[[#This Row],[FoodCostPercent]]</f>
        <v>0.3652045228344401</v>
      </c>
      <c r="V817" s="36"/>
    </row>
    <row r="818" spans="1:22" x14ac:dyDescent="0.25">
      <c r="A818" s="20">
        <v>817</v>
      </c>
      <c r="B818" s="21" t="s">
        <v>121</v>
      </c>
      <c r="C818" s="21" t="s">
        <v>117</v>
      </c>
      <c r="D818" s="6" t="s">
        <v>70</v>
      </c>
      <c r="E818" s="6">
        <v>3804013</v>
      </c>
      <c r="F818" s="6" t="s">
        <v>17</v>
      </c>
      <c r="G818" s="6" t="s">
        <v>122</v>
      </c>
      <c r="H818" s="6" t="s">
        <v>41</v>
      </c>
      <c r="I818" s="23">
        <v>8321.23</v>
      </c>
      <c r="J818" s="23">
        <v>8083.27</v>
      </c>
      <c r="K818" s="23">
        <v>516</v>
      </c>
      <c r="L818" s="23"/>
      <c r="M818" s="23">
        <f>2551.87-41-68.82</f>
        <v>2442.0499999999997</v>
      </c>
      <c r="N818" s="47">
        <v>191.78</v>
      </c>
      <c r="O818" s="23">
        <f>+Table24[[#This Row],[FoodcostBlueline]]+Table24[[#This Row],[Pepsico]]</f>
        <v>2633.83</v>
      </c>
      <c r="P818" s="24">
        <f t="shared" si="32"/>
        <v>0.31651931264969241</v>
      </c>
      <c r="Q818" s="24"/>
      <c r="R818" s="23">
        <v>2389.6799999999998</v>
      </c>
      <c r="S818" s="25">
        <f t="shared" si="33"/>
        <v>0.28717869834147114</v>
      </c>
      <c r="T818" s="24"/>
      <c r="U818" s="36">
        <f>Table24[[#This Row],[WagesPercent]]+Table24[[#This Row],[FoodCostPercent]]</f>
        <v>0.6036980109911636</v>
      </c>
      <c r="V818" s="36"/>
    </row>
    <row r="819" spans="1:22" x14ac:dyDescent="0.25">
      <c r="A819" s="20">
        <v>818</v>
      </c>
      <c r="B819" s="21" t="s">
        <v>121</v>
      </c>
      <c r="C819" s="21" t="s">
        <v>117</v>
      </c>
      <c r="D819" s="6" t="s">
        <v>70</v>
      </c>
      <c r="E819" s="6">
        <v>3804014</v>
      </c>
      <c r="F819" s="6" t="s">
        <v>18</v>
      </c>
      <c r="G819" s="6" t="s">
        <v>122</v>
      </c>
      <c r="H819" s="6" t="s">
        <v>41</v>
      </c>
      <c r="I819" s="23">
        <v>8483.2099999999991</v>
      </c>
      <c r="J819" s="23">
        <v>8343.57</v>
      </c>
      <c r="K819" s="23">
        <v>510</v>
      </c>
      <c r="L819" s="23"/>
      <c r="M819" s="23">
        <f>2685.5-27</f>
        <v>2658.5</v>
      </c>
      <c r="N819" s="47">
        <v>195.99</v>
      </c>
      <c r="O819" s="23">
        <f>+Table24[[#This Row],[FoodcostBlueline]]+Table24[[#This Row],[Pepsico]]</f>
        <v>2854.49</v>
      </c>
      <c r="P819" s="24">
        <f t="shared" si="32"/>
        <v>0.33648701376012147</v>
      </c>
      <c r="Q819" s="24"/>
      <c r="R819" s="23">
        <f>1964.14+100</f>
        <v>2064.1400000000003</v>
      </c>
      <c r="S819" s="25">
        <f t="shared" si="33"/>
        <v>0.24332062980876348</v>
      </c>
      <c r="T819" s="24"/>
      <c r="U819" s="36">
        <f>Table24[[#This Row],[WagesPercent]]+Table24[[#This Row],[FoodCostPercent]]</f>
        <v>0.57980764356888492</v>
      </c>
      <c r="V819" s="36"/>
    </row>
    <row r="820" spans="1:22" x14ac:dyDescent="0.25">
      <c r="A820" s="20">
        <v>819</v>
      </c>
      <c r="B820" s="21" t="s">
        <v>121</v>
      </c>
      <c r="C820" s="21" t="s">
        <v>117</v>
      </c>
      <c r="D820" s="6" t="s">
        <v>70</v>
      </c>
      <c r="E820" s="6">
        <v>3804015</v>
      </c>
      <c r="F820" s="6" t="s">
        <v>19</v>
      </c>
      <c r="G820" s="6" t="s">
        <v>20</v>
      </c>
      <c r="H820" s="6" t="s">
        <v>41</v>
      </c>
      <c r="I820" s="23">
        <v>15907.56</v>
      </c>
      <c r="J820" s="23">
        <v>15481.85</v>
      </c>
      <c r="K820" s="23">
        <v>996</v>
      </c>
      <c r="L820" s="23"/>
      <c r="M820" s="23">
        <f>5530.11-12.35-22</f>
        <v>5495.7599999999993</v>
      </c>
      <c r="N820" s="47">
        <v>0</v>
      </c>
      <c r="O820" s="23">
        <f>+Table24[[#This Row],[FoodcostBlueline]]+Table24[[#This Row],[Pepsico]]</f>
        <v>5495.7599999999993</v>
      </c>
      <c r="P820" s="24">
        <f t="shared" si="32"/>
        <v>0.34548101657325192</v>
      </c>
      <c r="Q820" s="24"/>
      <c r="R820" s="23">
        <v>4212.53</v>
      </c>
      <c r="S820" s="25">
        <f t="shared" si="33"/>
        <v>0.26481308258463271</v>
      </c>
      <c r="T820" s="24"/>
      <c r="U820" s="36">
        <f>Table24[[#This Row],[WagesPercent]]+Table24[[#This Row],[FoodCostPercent]]</f>
        <v>0.61029409915788468</v>
      </c>
      <c r="V820" s="36"/>
    </row>
    <row r="821" spans="1:22" x14ac:dyDescent="0.25">
      <c r="A821" s="20">
        <v>820</v>
      </c>
      <c r="B821" s="21" t="s">
        <v>121</v>
      </c>
      <c r="C821" s="21" t="s">
        <v>117</v>
      </c>
      <c r="D821" s="6" t="s">
        <v>70</v>
      </c>
      <c r="E821" s="6">
        <v>3804016</v>
      </c>
      <c r="F821" s="6" t="s">
        <v>21</v>
      </c>
      <c r="G821" s="6" t="s">
        <v>120</v>
      </c>
      <c r="H821" s="6" t="s">
        <v>40</v>
      </c>
      <c r="I821" s="23">
        <v>12992.42</v>
      </c>
      <c r="J821" s="23">
        <v>13160.11</v>
      </c>
      <c r="K821" s="23">
        <v>736</v>
      </c>
      <c r="L821" s="23"/>
      <c r="M821" s="23">
        <f>3772.7-18</f>
        <v>3754.7</v>
      </c>
      <c r="N821" s="47">
        <v>344.15</v>
      </c>
      <c r="O821" s="23">
        <f>+Table24[[#This Row],[FoodcostBlueline]]+Table24[[#This Row],[Pepsico]]</f>
        <v>4098.8499999999995</v>
      </c>
      <c r="P821" s="24">
        <f t="shared" si="32"/>
        <v>0.31548010301391116</v>
      </c>
      <c r="Q821" s="24"/>
      <c r="R821" s="23">
        <v>3264.82</v>
      </c>
      <c r="S821" s="25">
        <f t="shared" si="33"/>
        <v>0.25128651937052526</v>
      </c>
      <c r="T821" s="24"/>
      <c r="U821" s="36">
        <f>Table24[[#This Row],[WagesPercent]]+Table24[[#This Row],[FoodCostPercent]]</f>
        <v>0.56676662238443642</v>
      </c>
      <c r="V821" s="36"/>
    </row>
    <row r="822" spans="1:22" x14ac:dyDescent="0.25">
      <c r="A822" s="20">
        <v>821</v>
      </c>
      <c r="B822" s="21" t="s">
        <v>121</v>
      </c>
      <c r="C822" s="21" t="s">
        <v>117</v>
      </c>
      <c r="D822" s="6" t="s">
        <v>70</v>
      </c>
      <c r="E822" s="6">
        <v>3804017</v>
      </c>
      <c r="F822" s="6" t="s">
        <v>23</v>
      </c>
      <c r="G822" s="6" t="s">
        <v>120</v>
      </c>
      <c r="H822" s="6" t="s">
        <v>40</v>
      </c>
      <c r="I822" s="23">
        <v>16909.96</v>
      </c>
      <c r="J822" s="23">
        <v>16578.13</v>
      </c>
      <c r="K822" s="23">
        <v>1077</v>
      </c>
      <c r="L822" s="23"/>
      <c r="M822" s="23">
        <f>6264.62-17</f>
        <v>6247.62</v>
      </c>
      <c r="N822" s="47">
        <v>305.68</v>
      </c>
      <c r="O822" s="23">
        <f>+Table24[[#This Row],[FoodcostBlueline]]+Table24[[#This Row],[Pepsico]]</f>
        <v>6553.3</v>
      </c>
      <c r="P822" s="24">
        <f t="shared" si="32"/>
        <v>0.38754083392272959</v>
      </c>
      <c r="Q822" s="24"/>
      <c r="R822" s="23">
        <v>3513.77</v>
      </c>
      <c r="S822" s="25">
        <f t="shared" si="33"/>
        <v>0.20779292204121122</v>
      </c>
      <c r="T822" s="24"/>
      <c r="U822" s="36">
        <f>Table24[[#This Row],[WagesPercent]]+Table24[[#This Row],[FoodCostPercent]]</f>
        <v>0.59533375596394078</v>
      </c>
      <c r="V822" s="36"/>
    </row>
    <row r="823" spans="1:22" x14ac:dyDescent="0.25">
      <c r="A823" s="20">
        <v>822</v>
      </c>
      <c r="B823" s="21" t="s">
        <v>121</v>
      </c>
      <c r="C823" s="21" t="s">
        <v>117</v>
      </c>
      <c r="D823" s="6" t="s">
        <v>70</v>
      </c>
      <c r="E823" s="6">
        <v>3804018</v>
      </c>
      <c r="F823" s="6" t="s">
        <v>24</v>
      </c>
      <c r="G823" s="6" t="s">
        <v>20</v>
      </c>
      <c r="H823" s="6" t="s">
        <v>41</v>
      </c>
      <c r="I823" s="23">
        <v>21796.14</v>
      </c>
      <c r="J823" s="23">
        <v>20704.03</v>
      </c>
      <c r="K823" s="23">
        <v>1233</v>
      </c>
      <c r="L823" s="23"/>
      <c r="M823" s="23">
        <f>5775.37+1428.3-18</f>
        <v>7185.67</v>
      </c>
      <c r="N823" s="47">
        <v>0</v>
      </c>
      <c r="O823" s="23">
        <f>+Table24[[#This Row],[FoodcostBlueline]]+Table24[[#This Row],[Pepsico]]</f>
        <v>7185.67</v>
      </c>
      <c r="P823" s="24">
        <f t="shared" si="32"/>
        <v>0.32967626377881587</v>
      </c>
      <c r="Q823" s="24"/>
      <c r="R823" s="23">
        <v>4636.2</v>
      </c>
      <c r="S823" s="25">
        <f t="shared" si="33"/>
        <v>0.21270738763836164</v>
      </c>
      <c r="T823" s="24"/>
      <c r="U823" s="36">
        <f>Table24[[#This Row],[WagesPercent]]+Table24[[#This Row],[FoodCostPercent]]</f>
        <v>0.54238365141717748</v>
      </c>
      <c r="V823" s="36"/>
    </row>
    <row r="824" spans="1:22" x14ac:dyDescent="0.25">
      <c r="A824" s="20">
        <v>823</v>
      </c>
      <c r="B824" s="21" t="s">
        <v>121</v>
      </c>
      <c r="C824" s="21" t="s">
        <v>117</v>
      </c>
      <c r="D824" s="6" t="s">
        <v>70</v>
      </c>
      <c r="E824" s="6">
        <v>3804019</v>
      </c>
      <c r="F824" s="6" t="s">
        <v>25</v>
      </c>
      <c r="G824" s="6" t="s">
        <v>20</v>
      </c>
      <c r="H824" s="6" t="s">
        <v>41</v>
      </c>
      <c r="I824" s="23">
        <v>15876.16</v>
      </c>
      <c r="J824" s="23">
        <v>13908.6</v>
      </c>
      <c r="K824" s="23">
        <v>943</v>
      </c>
      <c r="L824" s="23"/>
      <c r="M824" s="23">
        <f>4784.07-12</f>
        <v>4772.07</v>
      </c>
      <c r="N824" s="47">
        <v>274.23</v>
      </c>
      <c r="O824" s="23">
        <f>+Table24[[#This Row],[FoodcostBlueline]]+Table24[[#This Row],[Pepsico]]</f>
        <v>5046.2999999999993</v>
      </c>
      <c r="P824" s="24">
        <f t="shared" si="32"/>
        <v>0.31785393949166546</v>
      </c>
      <c r="Q824" s="24"/>
      <c r="R824" s="23">
        <v>3502.44</v>
      </c>
      <c r="S824" s="25">
        <f t="shared" si="33"/>
        <v>0.22061002156692802</v>
      </c>
      <c r="T824" s="24"/>
      <c r="U824" s="36">
        <f>Table24[[#This Row],[WagesPercent]]+Table24[[#This Row],[FoodCostPercent]]</f>
        <v>0.53846396105859351</v>
      </c>
      <c r="V824" s="36"/>
    </row>
    <row r="825" spans="1:22" x14ac:dyDescent="0.25">
      <c r="A825" s="20">
        <v>824</v>
      </c>
      <c r="B825" s="21" t="s">
        <v>121</v>
      </c>
      <c r="C825" s="21" t="s">
        <v>117</v>
      </c>
      <c r="D825" s="6" t="s">
        <v>70</v>
      </c>
      <c r="E825" s="6">
        <v>3804020</v>
      </c>
      <c r="F825" s="6" t="s">
        <v>26</v>
      </c>
      <c r="G825" s="6" t="s">
        <v>120</v>
      </c>
      <c r="H825" s="6" t="s">
        <v>40</v>
      </c>
      <c r="I825" s="23">
        <v>14165.91</v>
      </c>
      <c r="J825" s="23">
        <v>12558.9</v>
      </c>
      <c r="K825" s="23">
        <v>790</v>
      </c>
      <c r="L825" s="23"/>
      <c r="M825" s="23">
        <f>3320.17-12</f>
        <v>3308.17</v>
      </c>
      <c r="N825" s="47">
        <v>285.10000000000002</v>
      </c>
      <c r="O825" s="23">
        <f>+Table24[[#This Row],[FoodcostBlueline]]+Table24[[#This Row],[Pepsico]]</f>
        <v>3593.27</v>
      </c>
      <c r="P825" s="24">
        <f t="shared" si="32"/>
        <v>0.25365613645717078</v>
      </c>
      <c r="Q825" s="24"/>
      <c r="R825" s="23">
        <v>2703.29</v>
      </c>
      <c r="S825" s="25">
        <f t="shared" si="33"/>
        <v>0.19083066319071632</v>
      </c>
      <c r="T825" s="24"/>
      <c r="U825" s="36">
        <f>Table24[[#This Row],[WagesPercent]]+Table24[[#This Row],[FoodCostPercent]]</f>
        <v>0.44448679964788707</v>
      </c>
      <c r="V825" s="36"/>
    </row>
    <row r="826" spans="1:22" x14ac:dyDescent="0.25">
      <c r="A826" s="20">
        <v>825</v>
      </c>
      <c r="B826" s="21" t="s">
        <v>121</v>
      </c>
      <c r="C826" s="21" t="s">
        <v>117</v>
      </c>
      <c r="D826" s="6" t="s">
        <v>70</v>
      </c>
      <c r="E826" s="6">
        <v>3804021</v>
      </c>
      <c r="F826" s="6" t="s">
        <v>27</v>
      </c>
      <c r="G826" s="6" t="s">
        <v>120</v>
      </c>
      <c r="H826" s="6" t="s">
        <v>40</v>
      </c>
      <c r="I826" s="23">
        <v>17253.54</v>
      </c>
      <c r="J826" s="23">
        <v>24081.56</v>
      </c>
      <c r="K826" s="23">
        <v>1113</v>
      </c>
      <c r="L826" s="23"/>
      <c r="M826" s="23">
        <f>-12.35-27+7460.63</f>
        <v>7421.28</v>
      </c>
      <c r="N826" s="47">
        <v>455.14</v>
      </c>
      <c r="O826" s="23">
        <f>+Table24[[#This Row],[FoodcostBlueline]]+Table24[[#This Row],[Pepsico]]</f>
        <v>7876.42</v>
      </c>
      <c r="P826" s="24">
        <f t="shared" si="32"/>
        <v>0.45651037410293771</v>
      </c>
      <c r="Q826" s="24"/>
      <c r="R826" s="23">
        <v>4279.6000000000004</v>
      </c>
      <c r="S826" s="25">
        <f t="shared" si="33"/>
        <v>0.24804185112156696</v>
      </c>
      <c r="T826" s="24"/>
      <c r="U826" s="36">
        <f>Table24[[#This Row],[WagesPercent]]+Table24[[#This Row],[FoodCostPercent]]</f>
        <v>0.70455222522450467</v>
      </c>
      <c r="V826" s="36"/>
    </row>
    <row r="827" spans="1:22" x14ac:dyDescent="0.25">
      <c r="A827" s="20">
        <v>826</v>
      </c>
      <c r="B827" s="21" t="s">
        <v>121</v>
      </c>
      <c r="C827" s="21" t="s">
        <v>117</v>
      </c>
      <c r="D827" s="6" t="s">
        <v>70</v>
      </c>
      <c r="E827" s="6">
        <v>3804022</v>
      </c>
      <c r="F827" s="6" t="s">
        <v>28</v>
      </c>
      <c r="G827" s="6" t="s">
        <v>120</v>
      </c>
      <c r="H827" s="6" t="s">
        <v>40</v>
      </c>
      <c r="I827" s="23">
        <v>14395.67</v>
      </c>
      <c r="J827" s="23">
        <v>15097.63</v>
      </c>
      <c r="K827" s="23">
        <v>812</v>
      </c>
      <c r="L827" s="23"/>
      <c r="M827" s="23">
        <f>5230.77-6</f>
        <v>5224.7700000000004</v>
      </c>
      <c r="N827" s="47">
        <v>361.13</v>
      </c>
      <c r="O827" s="23">
        <f>+Table24[[#This Row],[FoodcostBlueline]]+Table24[[#This Row],[Pepsico]]</f>
        <v>5585.9000000000005</v>
      </c>
      <c r="P827" s="24">
        <f t="shared" si="32"/>
        <v>0.38802639960488122</v>
      </c>
      <c r="Q827" s="24"/>
      <c r="R827" s="23">
        <v>2936.68</v>
      </c>
      <c r="S827" s="25">
        <f t="shared" si="33"/>
        <v>0.20399745201161182</v>
      </c>
      <c r="T827" s="24"/>
      <c r="U827" s="36">
        <f>Table24[[#This Row],[WagesPercent]]+Table24[[#This Row],[FoodCostPercent]]</f>
        <v>0.59202385161649307</v>
      </c>
      <c r="V827" s="36"/>
    </row>
    <row r="828" spans="1:22" x14ac:dyDescent="0.25">
      <c r="A828" s="20">
        <v>827</v>
      </c>
      <c r="B828" s="21" t="s">
        <v>121</v>
      </c>
      <c r="C828" s="21" t="s">
        <v>117</v>
      </c>
      <c r="D828" s="6" t="s">
        <v>70</v>
      </c>
      <c r="E828" s="6">
        <v>3804023</v>
      </c>
      <c r="F828" s="6" t="s">
        <v>29</v>
      </c>
      <c r="G828" s="6" t="s">
        <v>120</v>
      </c>
      <c r="H828" s="6" t="s">
        <v>40</v>
      </c>
      <c r="I828" s="23">
        <v>13067.22</v>
      </c>
      <c r="J828" s="23">
        <v>15993.01</v>
      </c>
      <c r="K828" s="23">
        <v>809</v>
      </c>
      <c r="L828" s="23"/>
      <c r="M828" s="23">
        <f>4615.58-25</f>
        <v>4590.58</v>
      </c>
      <c r="N828" s="47">
        <v>470.44</v>
      </c>
      <c r="O828" s="23">
        <f>+Table24[[#This Row],[FoodcostBlueline]]+Table24[[#This Row],[Pepsico]]</f>
        <v>5061.0199999999995</v>
      </c>
      <c r="P828" s="24">
        <f t="shared" si="32"/>
        <v>0.38730655793657714</v>
      </c>
      <c r="Q828" s="24"/>
      <c r="R828" s="23">
        <v>2899.65</v>
      </c>
      <c r="S828" s="25">
        <f t="shared" si="33"/>
        <v>0.22190259290040271</v>
      </c>
      <c r="T828" s="24"/>
      <c r="U828" s="36">
        <f>Table24[[#This Row],[WagesPercent]]+Table24[[#This Row],[FoodCostPercent]]</f>
        <v>0.60920915083697991</v>
      </c>
      <c r="V828" s="36"/>
    </row>
    <row r="829" spans="1:22" x14ac:dyDescent="0.25">
      <c r="A829" s="20">
        <v>828</v>
      </c>
      <c r="B829" s="21" t="s">
        <v>121</v>
      </c>
      <c r="C829" s="21" t="s">
        <v>117</v>
      </c>
      <c r="D829" s="6" t="s">
        <v>70</v>
      </c>
      <c r="E829" s="6">
        <v>3804024</v>
      </c>
      <c r="F829" s="6" t="s">
        <v>30</v>
      </c>
      <c r="G829" s="6" t="s">
        <v>20</v>
      </c>
      <c r="H829" s="6" t="s">
        <v>41</v>
      </c>
      <c r="I829" s="23">
        <v>9477.5300000000007</v>
      </c>
      <c r="J829" s="23">
        <v>11415.05</v>
      </c>
      <c r="K829" s="23">
        <v>562</v>
      </c>
      <c r="L829" s="23"/>
      <c r="M829" s="37">
        <f>3766.57-32</f>
        <v>3734.57</v>
      </c>
      <c r="N829" s="47">
        <v>297.51</v>
      </c>
      <c r="O829" s="23">
        <f>+Table24[[#This Row],[FoodcostBlueline]]+Table24[[#This Row],[Pepsico]]</f>
        <v>4032.08</v>
      </c>
      <c r="P829" s="24">
        <f t="shared" si="32"/>
        <v>0.4254357411688488</v>
      </c>
      <c r="Q829" s="24"/>
      <c r="R829" s="23">
        <f>2914.64+69.23</f>
        <v>2983.87</v>
      </c>
      <c r="S829" s="25">
        <f t="shared" si="33"/>
        <v>0.31483624952914946</v>
      </c>
      <c r="T829" s="24"/>
      <c r="U829" s="36">
        <f>Table24[[#This Row],[WagesPercent]]+Table24[[#This Row],[FoodCostPercent]]</f>
        <v>0.74027199069799821</v>
      </c>
      <c r="V829" s="36"/>
    </row>
    <row r="830" spans="1:22" x14ac:dyDescent="0.25">
      <c r="A830" s="20">
        <v>829</v>
      </c>
      <c r="B830" s="21" t="s">
        <v>121</v>
      </c>
      <c r="C830" s="21" t="s">
        <v>117</v>
      </c>
      <c r="D830" s="6" t="s">
        <v>70</v>
      </c>
      <c r="E830" s="6">
        <v>3804025</v>
      </c>
      <c r="F830" s="6" t="s">
        <v>31</v>
      </c>
      <c r="G830" s="6" t="s">
        <v>20</v>
      </c>
      <c r="H830" s="6" t="s">
        <v>41</v>
      </c>
      <c r="I830" s="23">
        <v>25127.78</v>
      </c>
      <c r="J830" s="23">
        <v>23937.62</v>
      </c>
      <c r="K830" s="23">
        <v>1539</v>
      </c>
      <c r="L830" s="23"/>
      <c r="M830" s="23">
        <f>9569.22-61</f>
        <v>9508.2199999999993</v>
      </c>
      <c r="N830" s="47">
        <v>699.53</v>
      </c>
      <c r="O830" s="23">
        <f>+Table24[[#This Row],[FoodcostBlueline]]+Table24[[#This Row],[Pepsico]]</f>
        <v>10207.75</v>
      </c>
      <c r="P830" s="24">
        <f t="shared" si="32"/>
        <v>0.40623365852454935</v>
      </c>
      <c r="Q830" s="24"/>
      <c r="R830" s="23">
        <f>5448.85+200</f>
        <v>5648.85</v>
      </c>
      <c r="S830" s="25">
        <f t="shared" si="33"/>
        <v>0.22480497680256675</v>
      </c>
      <c r="T830" s="24"/>
      <c r="U830" s="36">
        <f>Table24[[#This Row],[WagesPercent]]+Table24[[#This Row],[FoodCostPercent]]</f>
        <v>0.63103863532711613</v>
      </c>
      <c r="V830" s="36"/>
    </row>
    <row r="831" spans="1:22" x14ac:dyDescent="0.25">
      <c r="A831" s="20">
        <v>830</v>
      </c>
      <c r="B831" s="21" t="s">
        <v>121</v>
      </c>
      <c r="C831" s="21" t="s">
        <v>117</v>
      </c>
      <c r="D831" s="6" t="s">
        <v>70</v>
      </c>
      <c r="E831" s="6">
        <v>3804026</v>
      </c>
      <c r="F831" s="6" t="s">
        <v>32</v>
      </c>
      <c r="G831" s="6" t="s">
        <v>79</v>
      </c>
      <c r="H831" s="6" t="s">
        <v>41</v>
      </c>
      <c r="I831" s="23">
        <v>12472.85</v>
      </c>
      <c r="J831" s="23">
        <v>12176.85</v>
      </c>
      <c r="K831" s="23">
        <v>741</v>
      </c>
      <c r="L831" s="23"/>
      <c r="M831" s="23">
        <f>-103.15-55+4061.54</f>
        <v>3903.39</v>
      </c>
      <c r="N831" s="47">
        <v>364.86</v>
      </c>
      <c r="O831" s="23">
        <f>+Table24[[#This Row],[FoodcostBlueline]]+Table24[[#This Row],[Pepsico]]</f>
        <v>4268.25</v>
      </c>
      <c r="P831" s="24">
        <f t="shared" si="32"/>
        <v>0.34220326549265001</v>
      </c>
      <c r="Q831" s="24"/>
      <c r="R831" s="23">
        <v>3747.53</v>
      </c>
      <c r="S831" s="25">
        <f t="shared" si="33"/>
        <v>0.30045498823444522</v>
      </c>
      <c r="T831" s="24"/>
      <c r="U831" s="36">
        <f>Table24[[#This Row],[WagesPercent]]+Table24[[#This Row],[FoodCostPercent]]</f>
        <v>0.64265825372709529</v>
      </c>
      <c r="V831" s="36"/>
    </row>
    <row r="832" spans="1:22" x14ac:dyDescent="0.25">
      <c r="A832" s="20">
        <v>831</v>
      </c>
      <c r="B832" s="21" t="s">
        <v>121</v>
      </c>
      <c r="C832" s="21" t="s">
        <v>117</v>
      </c>
      <c r="D832" s="6" t="s">
        <v>70</v>
      </c>
      <c r="E832" s="6">
        <v>3804027</v>
      </c>
      <c r="F832" s="6" t="s">
        <v>33</v>
      </c>
      <c r="G832" s="6" t="s">
        <v>43</v>
      </c>
      <c r="H832" s="6" t="s">
        <v>41</v>
      </c>
      <c r="I832" s="23">
        <v>17366.87</v>
      </c>
      <c r="J832" s="23">
        <v>16321.25</v>
      </c>
      <c r="K832" s="23">
        <v>1170</v>
      </c>
      <c r="L832" s="23"/>
      <c r="M832" s="23">
        <f>5800.18-70</f>
        <v>5730.18</v>
      </c>
      <c r="N832" s="47">
        <v>228.81</v>
      </c>
      <c r="O832" s="23">
        <f>+Table24[[#This Row],[FoodcostBlueline]]+Table24[[#This Row],[Pepsico]]</f>
        <v>5958.9900000000007</v>
      </c>
      <c r="P832" s="24">
        <f t="shared" si="32"/>
        <v>0.34312400564983792</v>
      </c>
      <c r="Q832" s="24"/>
      <c r="R832" s="23">
        <f>1709+377+2807</f>
        <v>4893</v>
      </c>
      <c r="S832" s="25">
        <f t="shared" si="33"/>
        <v>0.2817433423524216</v>
      </c>
      <c r="T832" s="24"/>
      <c r="U832" s="36">
        <f>Table24[[#This Row],[WagesPercent]]+Table24[[#This Row],[FoodCostPercent]]</f>
        <v>0.62486734800225952</v>
      </c>
      <c r="V832" s="36"/>
    </row>
    <row r="833" spans="1:22" x14ac:dyDescent="0.25">
      <c r="A833" s="20">
        <v>832</v>
      </c>
      <c r="B833" s="21" t="s">
        <v>121</v>
      </c>
      <c r="C833" s="21" t="s">
        <v>117</v>
      </c>
      <c r="D833" s="6" t="s">
        <v>70</v>
      </c>
      <c r="E833" s="6">
        <v>3804029</v>
      </c>
      <c r="F833" s="6" t="s">
        <v>34</v>
      </c>
      <c r="G833" s="6" t="s">
        <v>43</v>
      </c>
      <c r="H833" s="6" t="s">
        <v>41</v>
      </c>
      <c r="I833" s="23">
        <v>7987.38</v>
      </c>
      <c r="J833" s="23">
        <v>9814.1200000000008</v>
      </c>
      <c r="K833" s="23">
        <v>527</v>
      </c>
      <c r="L833" s="23"/>
      <c r="M833" s="23">
        <f>3234.17-30</f>
        <v>3204.17</v>
      </c>
      <c r="N833" s="47">
        <v>0</v>
      </c>
      <c r="O833" s="23">
        <f>+Table24[[#This Row],[FoodcostBlueline]]+Table24[[#This Row],[Pepsico]]</f>
        <v>3204.17</v>
      </c>
      <c r="P833" s="24">
        <f t="shared" si="32"/>
        <v>0.40115407054628677</v>
      </c>
      <c r="Q833" s="24"/>
      <c r="R833" s="23">
        <f>1013.7+269.61</f>
        <v>1283.31</v>
      </c>
      <c r="S833" s="25">
        <f t="shared" si="33"/>
        <v>0.16066720251196262</v>
      </c>
      <c r="T833" s="24"/>
      <c r="U833" s="36">
        <f>Table24[[#This Row],[WagesPercent]]+Table24[[#This Row],[FoodCostPercent]]</f>
        <v>0.56182127305824936</v>
      </c>
      <c r="V833" s="36"/>
    </row>
    <row r="834" spans="1:22" x14ac:dyDescent="0.25">
      <c r="A834" s="20">
        <v>833</v>
      </c>
      <c r="B834" s="21" t="s">
        <v>121</v>
      </c>
      <c r="C834" s="21" t="s">
        <v>117</v>
      </c>
      <c r="D834" s="6" t="s">
        <v>70</v>
      </c>
      <c r="E834" s="6">
        <v>3804030</v>
      </c>
      <c r="F834" s="6" t="s">
        <v>35</v>
      </c>
      <c r="G834" s="6" t="s">
        <v>5</v>
      </c>
      <c r="H834" s="6" t="s">
        <v>40</v>
      </c>
      <c r="I834" s="23">
        <v>9667.41</v>
      </c>
      <c r="J834" s="23">
        <v>8288.2099999999991</v>
      </c>
      <c r="K834" s="23">
        <v>533</v>
      </c>
      <c r="L834" s="23"/>
      <c r="M834" s="23">
        <f>172+1923.79-42</f>
        <v>2053.79</v>
      </c>
      <c r="N834" s="47">
        <v>0</v>
      </c>
      <c r="O834" s="23">
        <f>+Table24[[#This Row],[FoodcostBlueline]]+Table24[[#This Row],[Pepsico]]</f>
        <v>2053.79</v>
      </c>
      <c r="P834" s="24">
        <f t="shared" ref="P834:P897" si="34">IFERROR(((M834+N834)/I834),0)</f>
        <v>0.21244469821803358</v>
      </c>
      <c r="Q834" s="24"/>
      <c r="R834" s="23">
        <v>2510</v>
      </c>
      <c r="S834" s="25">
        <f t="shared" ref="S834:S897" si="35">+R834/I834</f>
        <v>0.25963520736164081</v>
      </c>
      <c r="T834" s="24"/>
      <c r="U834" s="36">
        <f>Table24[[#This Row],[WagesPercent]]+Table24[[#This Row],[FoodCostPercent]]</f>
        <v>0.47207990557967439</v>
      </c>
      <c r="V834" s="36"/>
    </row>
    <row r="835" spans="1:22" x14ac:dyDescent="0.25">
      <c r="A835" s="20">
        <v>834</v>
      </c>
      <c r="B835" s="21" t="s">
        <v>121</v>
      </c>
      <c r="C835" s="21" t="s">
        <v>117</v>
      </c>
      <c r="D835" s="6" t="s">
        <v>70</v>
      </c>
      <c r="E835" s="6">
        <v>3804031</v>
      </c>
      <c r="F835" s="6" t="s">
        <v>36</v>
      </c>
      <c r="G835" s="6" t="s">
        <v>5</v>
      </c>
      <c r="H835" s="6" t="s">
        <v>40</v>
      </c>
      <c r="I835" s="23">
        <v>9704.7000000000007</v>
      </c>
      <c r="J835" s="23">
        <v>7143.46</v>
      </c>
      <c r="K835" s="23">
        <v>589</v>
      </c>
      <c r="L835" s="23"/>
      <c r="M835" s="23">
        <f>3096.77-39</f>
        <v>3057.77</v>
      </c>
      <c r="N835" s="47">
        <v>0</v>
      </c>
      <c r="O835" s="23">
        <f>+Table24[[#This Row],[FoodcostBlueline]]+Table24[[#This Row],[Pepsico]]</f>
        <v>3057.77</v>
      </c>
      <c r="P835" s="24">
        <f t="shared" si="34"/>
        <v>0.31508135233443585</v>
      </c>
      <c r="Q835" s="24"/>
      <c r="R835" s="23">
        <f>1706.53+1225</f>
        <v>2931.5299999999997</v>
      </c>
      <c r="S835" s="25">
        <f t="shared" si="35"/>
        <v>0.30207322225313504</v>
      </c>
      <c r="T835" s="24"/>
      <c r="U835" s="36">
        <f>Table24[[#This Row],[WagesPercent]]+Table24[[#This Row],[FoodCostPercent]]</f>
        <v>0.61715457458757084</v>
      </c>
      <c r="V835" s="36"/>
    </row>
    <row r="836" spans="1:22" x14ac:dyDescent="0.25">
      <c r="A836" s="20">
        <v>835</v>
      </c>
      <c r="B836" s="21" t="s">
        <v>121</v>
      </c>
      <c r="C836" s="21" t="s">
        <v>117</v>
      </c>
      <c r="D836" s="6" t="s">
        <v>70</v>
      </c>
      <c r="E836" s="6">
        <v>3804032</v>
      </c>
      <c r="F836" s="6" t="s">
        <v>37</v>
      </c>
      <c r="G836" s="6" t="s">
        <v>5</v>
      </c>
      <c r="H836" s="6" t="s">
        <v>40</v>
      </c>
      <c r="I836" s="23">
        <v>9651.4599999999991</v>
      </c>
      <c r="J836" s="23">
        <v>5642.52</v>
      </c>
      <c r="K836" s="23">
        <v>551</v>
      </c>
      <c r="L836" s="23"/>
      <c r="M836" s="23">
        <f>4182.79-63</f>
        <v>4119.79</v>
      </c>
      <c r="N836" s="47">
        <v>192.82</v>
      </c>
      <c r="O836" s="23">
        <f>+Table24[[#This Row],[FoodcostBlueline]]+Table24[[#This Row],[Pepsico]]</f>
        <v>4312.6099999999997</v>
      </c>
      <c r="P836" s="24">
        <f t="shared" si="34"/>
        <v>0.4468349866237854</v>
      </c>
      <c r="Q836" s="24"/>
      <c r="R836" s="23">
        <f>1350+850+200</f>
        <v>2400</v>
      </c>
      <c r="S836" s="25">
        <f t="shared" si="35"/>
        <v>0.24866704104871182</v>
      </c>
      <c r="T836" s="24"/>
      <c r="U836" s="36">
        <f>Table24[[#This Row],[WagesPercent]]+Table24[[#This Row],[FoodCostPercent]]</f>
        <v>0.69550202767249725</v>
      </c>
      <c r="V836" s="36"/>
    </row>
    <row r="837" spans="1:22" x14ac:dyDescent="0.25">
      <c r="A837" s="20">
        <v>836</v>
      </c>
      <c r="B837" s="21" t="s">
        <v>121</v>
      </c>
      <c r="C837" s="21" t="s">
        <v>117</v>
      </c>
      <c r="D837" s="6" t="s">
        <v>70</v>
      </c>
      <c r="E837" s="6">
        <v>3804033</v>
      </c>
      <c r="F837" s="6" t="s">
        <v>38</v>
      </c>
      <c r="G837" s="6" t="s">
        <v>5</v>
      </c>
      <c r="H837" s="6" t="s">
        <v>40</v>
      </c>
      <c r="I837" s="23">
        <v>7626.52</v>
      </c>
      <c r="J837" s="23">
        <v>7123.33</v>
      </c>
      <c r="K837" s="23">
        <v>573</v>
      </c>
      <c r="L837" s="23"/>
      <c r="M837" s="37">
        <f>3037.68-31</f>
        <v>3006.68</v>
      </c>
      <c r="N837" s="47">
        <v>0</v>
      </c>
      <c r="O837" s="23">
        <f>+Table24[[#This Row],[FoodcostBlueline]]+Table24[[#This Row],[Pepsico]]</f>
        <v>3006.68</v>
      </c>
      <c r="P837" s="24">
        <f t="shared" si="34"/>
        <v>0.39424009902288326</v>
      </c>
      <c r="Q837" s="24"/>
      <c r="R837" s="23">
        <f>1344.72+750+165.58</f>
        <v>2260.3000000000002</v>
      </c>
      <c r="S837" s="25">
        <f t="shared" si="35"/>
        <v>0.29637370648736255</v>
      </c>
      <c r="T837" s="24"/>
      <c r="U837" s="36">
        <f>Table24[[#This Row],[WagesPercent]]+Table24[[#This Row],[FoodCostPercent]]</f>
        <v>0.69061380551024576</v>
      </c>
      <c r="V837" s="36"/>
    </row>
    <row r="838" spans="1:22" x14ac:dyDescent="0.25">
      <c r="A838" s="20">
        <v>837</v>
      </c>
      <c r="B838" s="21" t="s">
        <v>121</v>
      </c>
      <c r="C838" s="21" t="s">
        <v>117</v>
      </c>
      <c r="D838" s="6" t="s">
        <v>70</v>
      </c>
      <c r="E838" s="6">
        <v>3804034</v>
      </c>
      <c r="F838" s="6" t="s">
        <v>53</v>
      </c>
      <c r="G838" s="6" t="s">
        <v>79</v>
      </c>
      <c r="H838" s="6" t="s">
        <v>41</v>
      </c>
      <c r="I838" s="23">
        <v>8212.52</v>
      </c>
      <c r="J838" s="23">
        <v>11410.66</v>
      </c>
      <c r="K838" s="23">
        <v>483</v>
      </c>
      <c r="L838" s="23"/>
      <c r="M838" s="23">
        <f>2071.56-26</f>
        <v>2045.56</v>
      </c>
      <c r="N838" s="47">
        <v>0</v>
      </c>
      <c r="O838" s="23">
        <f>+Table24[[#This Row],[FoodcostBlueline]]+Table24[[#This Row],[Pepsico]]</f>
        <v>2045.56</v>
      </c>
      <c r="P838" s="24">
        <f t="shared" si="34"/>
        <v>0.24907823664356371</v>
      </c>
      <c r="Q838" s="24"/>
      <c r="R838" s="23">
        <v>2400</v>
      </c>
      <c r="S838" s="25">
        <f t="shared" si="35"/>
        <v>0.29223673123474886</v>
      </c>
      <c r="T838" s="24"/>
      <c r="U838" s="36">
        <f>Table24[[#This Row],[WagesPercent]]+Table24[[#This Row],[FoodCostPercent]]</f>
        <v>0.54131496787831257</v>
      </c>
      <c r="V838" s="36"/>
    </row>
    <row r="839" spans="1:22" x14ac:dyDescent="0.25">
      <c r="A839" s="20">
        <v>838</v>
      </c>
      <c r="B839" s="21" t="s">
        <v>123</v>
      </c>
      <c r="C839" s="21" t="s">
        <v>117</v>
      </c>
      <c r="D839" s="6" t="s">
        <v>71</v>
      </c>
      <c r="E839" s="6">
        <v>3804001</v>
      </c>
      <c r="F839" s="6" t="s">
        <v>4</v>
      </c>
      <c r="G839" s="6" t="s">
        <v>5</v>
      </c>
      <c r="H839" s="6" t="s">
        <v>40</v>
      </c>
      <c r="I839" s="23">
        <v>26835.74</v>
      </c>
      <c r="J839" s="23">
        <v>27210.02</v>
      </c>
      <c r="K839" s="23">
        <v>1753</v>
      </c>
      <c r="L839" s="23"/>
      <c r="M839" s="23">
        <f>7940.08-189</f>
        <v>7751.08</v>
      </c>
      <c r="N839" s="47">
        <v>1501.52</v>
      </c>
      <c r="O839" s="23">
        <f>+Table24[[#This Row],[FoodcostBlueline]]+Table24[[#This Row],[Pepsico]]</f>
        <v>9252.6</v>
      </c>
      <c r="P839" s="24">
        <f t="shared" si="34"/>
        <v>0.34478646759880666</v>
      </c>
      <c r="Q839" s="24"/>
      <c r="R839" s="23">
        <f>6116.76+165.58</f>
        <v>6282.34</v>
      </c>
      <c r="S839" s="25">
        <f t="shared" si="35"/>
        <v>0.23410347543984253</v>
      </c>
      <c r="T839" s="24"/>
      <c r="U839" s="36">
        <f>Table24[[#This Row],[WagesPercent]]+Table24[[#This Row],[FoodCostPercent]]</f>
        <v>0.57888994303864916</v>
      </c>
      <c r="V839" s="36"/>
    </row>
    <row r="840" spans="1:22" x14ac:dyDescent="0.25">
      <c r="A840" s="20">
        <v>839</v>
      </c>
      <c r="B840" s="21" t="s">
        <v>123</v>
      </c>
      <c r="C840" s="21" t="s">
        <v>117</v>
      </c>
      <c r="D840" s="6" t="s">
        <v>71</v>
      </c>
      <c r="E840" s="6">
        <v>3804002</v>
      </c>
      <c r="F840" s="6" t="s">
        <v>6</v>
      </c>
      <c r="G840" s="6" t="s">
        <v>7</v>
      </c>
      <c r="H840" s="6" t="s">
        <v>41</v>
      </c>
      <c r="I840" s="23">
        <v>12534.85</v>
      </c>
      <c r="J840" s="23">
        <v>14454.54</v>
      </c>
      <c r="K840" s="23">
        <v>964</v>
      </c>
      <c r="L840" s="23"/>
      <c r="M840" s="23">
        <f>3572.63-75</f>
        <v>3497.63</v>
      </c>
      <c r="N840" s="47">
        <v>498.88</v>
      </c>
      <c r="O840" s="23">
        <f>+Table24[[#This Row],[FoodcostBlueline]]+Table24[[#This Row],[Pepsico]]</f>
        <v>3996.51</v>
      </c>
      <c r="P840" s="24">
        <f t="shared" si="34"/>
        <v>0.31883189667207823</v>
      </c>
      <c r="Q840" s="24"/>
      <c r="R840" s="23">
        <v>3482.1</v>
      </c>
      <c r="S840" s="25">
        <f t="shared" si="35"/>
        <v>0.27779351168940991</v>
      </c>
      <c r="T840" s="24"/>
      <c r="U840" s="36">
        <f>Table24[[#This Row],[WagesPercent]]+Table24[[#This Row],[FoodCostPercent]]</f>
        <v>0.59662540836148814</v>
      </c>
      <c r="V840" s="36"/>
    </row>
    <row r="841" spans="1:22" x14ac:dyDescent="0.25">
      <c r="A841" s="20">
        <v>840</v>
      </c>
      <c r="B841" s="21" t="s">
        <v>123</v>
      </c>
      <c r="C841" s="21" t="s">
        <v>117</v>
      </c>
      <c r="D841" s="6" t="s">
        <v>71</v>
      </c>
      <c r="E841" s="6">
        <v>3804003</v>
      </c>
      <c r="F841" s="6" t="s">
        <v>8</v>
      </c>
      <c r="G841" s="6" t="s">
        <v>7</v>
      </c>
      <c r="H841" s="6" t="s">
        <v>41</v>
      </c>
      <c r="I841" s="23">
        <v>12546.12</v>
      </c>
      <c r="J841" s="23">
        <v>11106.56</v>
      </c>
      <c r="K841" s="23">
        <v>823</v>
      </c>
      <c r="L841" s="23"/>
      <c r="M841" s="23">
        <f>2686.81-69</f>
        <v>2617.81</v>
      </c>
      <c r="N841" s="47">
        <v>0</v>
      </c>
      <c r="O841" s="23">
        <f>+Table24[[#This Row],[FoodcostBlueline]]+Table24[[#This Row],[Pepsico]]</f>
        <v>2617.81</v>
      </c>
      <c r="P841" s="24">
        <f t="shared" si="34"/>
        <v>0.20865494670862383</v>
      </c>
      <c r="Q841" s="24"/>
      <c r="R841" s="23">
        <v>3721.18</v>
      </c>
      <c r="S841" s="25">
        <f t="shared" si="35"/>
        <v>0.29660006440238096</v>
      </c>
      <c r="T841" s="24"/>
      <c r="U841" s="36">
        <f>Table24[[#This Row],[WagesPercent]]+Table24[[#This Row],[FoodCostPercent]]</f>
        <v>0.50525501111100479</v>
      </c>
      <c r="V841" s="36"/>
    </row>
    <row r="842" spans="1:22" x14ac:dyDescent="0.25">
      <c r="A842" s="20">
        <v>841</v>
      </c>
      <c r="B842" s="21" t="s">
        <v>123</v>
      </c>
      <c r="C842" s="21" t="s">
        <v>117</v>
      </c>
      <c r="D842" s="6" t="s">
        <v>71</v>
      </c>
      <c r="E842" s="6">
        <v>3804004</v>
      </c>
      <c r="F842" s="6" t="s">
        <v>9</v>
      </c>
      <c r="G842" s="6" t="s">
        <v>7</v>
      </c>
      <c r="H842" s="6" t="s">
        <v>41</v>
      </c>
      <c r="I842" s="23">
        <v>15275.8</v>
      </c>
      <c r="J842" s="23">
        <v>14785</v>
      </c>
      <c r="K842" s="23">
        <v>1025</v>
      </c>
      <c r="L842" s="23"/>
      <c r="M842" s="23">
        <f>3828.75-93</f>
        <v>3735.75</v>
      </c>
      <c r="N842" s="47">
        <v>538.54999999999995</v>
      </c>
      <c r="O842" s="23">
        <f>+Table24[[#This Row],[FoodcostBlueline]]+Table24[[#This Row],[Pepsico]]</f>
        <v>4274.3</v>
      </c>
      <c r="P842" s="24">
        <f t="shared" si="34"/>
        <v>0.27980858612969534</v>
      </c>
      <c r="Q842" s="24"/>
      <c r="R842" s="23">
        <v>4093.4</v>
      </c>
      <c r="S842" s="25">
        <f t="shared" si="35"/>
        <v>0.26796632582254287</v>
      </c>
      <c r="T842" s="24"/>
      <c r="U842" s="36">
        <f>Table24[[#This Row],[WagesPercent]]+Table24[[#This Row],[FoodCostPercent]]</f>
        <v>0.54777491195223815</v>
      </c>
      <c r="V842" s="36"/>
    </row>
    <row r="843" spans="1:22" x14ac:dyDescent="0.25">
      <c r="A843" s="20">
        <v>842</v>
      </c>
      <c r="B843" s="21" t="s">
        <v>123</v>
      </c>
      <c r="C843" s="21" t="s">
        <v>117</v>
      </c>
      <c r="D843" s="6" t="s">
        <v>71</v>
      </c>
      <c r="E843" s="6">
        <v>3804005</v>
      </c>
      <c r="F843" s="6" t="s">
        <v>10</v>
      </c>
      <c r="G843" s="6" t="s">
        <v>7</v>
      </c>
      <c r="H843" s="6" t="s">
        <v>41</v>
      </c>
      <c r="I843" s="23">
        <v>12025.41</v>
      </c>
      <c r="J843" s="23">
        <v>15405.06</v>
      </c>
      <c r="K843" s="23">
        <v>806</v>
      </c>
      <c r="L843" s="23"/>
      <c r="M843" s="23">
        <f>3499.99+139.08-105</f>
        <v>3534.0699999999997</v>
      </c>
      <c r="N843" s="47">
        <v>498.88</v>
      </c>
      <c r="O843" s="23">
        <f>+Table24[[#This Row],[FoodcostBlueline]]+Table24[[#This Row],[Pepsico]]</f>
        <v>4032.95</v>
      </c>
      <c r="P843" s="24">
        <f t="shared" si="34"/>
        <v>0.3353690227609703</v>
      </c>
      <c r="Q843" s="24"/>
      <c r="R843" s="23">
        <v>2919</v>
      </c>
      <c r="S843" s="25">
        <f t="shared" si="35"/>
        <v>0.24273600650622307</v>
      </c>
      <c r="T843" s="24"/>
      <c r="U843" s="36">
        <f>Table24[[#This Row],[WagesPercent]]+Table24[[#This Row],[FoodCostPercent]]</f>
        <v>0.57810502926719343</v>
      </c>
      <c r="V843" s="36"/>
    </row>
    <row r="844" spans="1:22" x14ac:dyDescent="0.25">
      <c r="A844" s="20">
        <v>843</v>
      </c>
      <c r="B844" s="21" t="s">
        <v>123</v>
      </c>
      <c r="C844" s="21" t="s">
        <v>117</v>
      </c>
      <c r="D844" s="6" t="s">
        <v>71</v>
      </c>
      <c r="E844" s="6">
        <v>3804006</v>
      </c>
      <c r="F844" s="6" t="s">
        <v>11</v>
      </c>
      <c r="G844" s="6" t="s">
        <v>7</v>
      </c>
      <c r="H844" s="6" t="s">
        <v>41</v>
      </c>
      <c r="I844" s="23">
        <v>8487</v>
      </c>
      <c r="J844" s="23">
        <v>9305.94</v>
      </c>
      <c r="K844" s="23">
        <v>609</v>
      </c>
      <c r="L844" s="23"/>
      <c r="M844" s="23">
        <f>2396.78-82.82-63</f>
        <v>2250.96</v>
      </c>
      <c r="N844" s="47">
        <v>477.53</v>
      </c>
      <c r="O844" s="23">
        <f>+Table24[[#This Row],[FoodcostBlueline]]+Table24[[#This Row],[Pepsico]]</f>
        <v>2728.49</v>
      </c>
      <c r="P844" s="24">
        <f t="shared" si="34"/>
        <v>0.32149051490514902</v>
      </c>
      <c r="Q844" s="24"/>
      <c r="R844" s="23">
        <v>1548.28</v>
      </c>
      <c r="S844" s="25">
        <f t="shared" si="35"/>
        <v>0.18242959820902557</v>
      </c>
      <c r="T844" s="24"/>
      <c r="U844" s="36">
        <f>Table24[[#This Row],[WagesPercent]]+Table24[[#This Row],[FoodCostPercent]]</f>
        <v>0.50392011311417462</v>
      </c>
      <c r="V844" s="36"/>
    </row>
    <row r="845" spans="1:22" x14ac:dyDescent="0.25">
      <c r="A845" s="20">
        <v>844</v>
      </c>
      <c r="B845" s="21" t="s">
        <v>123</v>
      </c>
      <c r="C845" s="21" t="s">
        <v>117</v>
      </c>
      <c r="D845" s="6" t="s">
        <v>71</v>
      </c>
      <c r="E845" s="6">
        <v>3804008</v>
      </c>
      <c r="F845" s="6" t="s">
        <v>12</v>
      </c>
      <c r="G845" s="6" t="s">
        <v>42</v>
      </c>
      <c r="H845" s="6" t="s">
        <v>41</v>
      </c>
      <c r="I845" s="23">
        <v>21375.24</v>
      </c>
      <c r="J845" s="23">
        <v>21105.56</v>
      </c>
      <c r="K845" s="23">
        <v>1276</v>
      </c>
      <c r="L845" s="23"/>
      <c r="M845" s="23">
        <f>5161.56-105</f>
        <v>5056.5600000000004</v>
      </c>
      <c r="N845" s="47">
        <v>415.24</v>
      </c>
      <c r="O845" s="23">
        <f>+Table24[[#This Row],[FoodcostBlueline]]+Table24[[#This Row],[Pepsico]]</f>
        <v>5471.8</v>
      </c>
      <c r="P845" s="24">
        <f t="shared" si="34"/>
        <v>0.25598776902621911</v>
      </c>
      <c r="Q845" s="24"/>
      <c r="R845" s="23">
        <f>2100+300+2369</f>
        <v>4769</v>
      </c>
      <c r="S845" s="25">
        <f t="shared" si="35"/>
        <v>0.22310860603202581</v>
      </c>
      <c r="T845" s="24"/>
      <c r="U845" s="36">
        <f>Table24[[#This Row],[WagesPercent]]+Table24[[#This Row],[FoodCostPercent]]</f>
        <v>0.47909637505824493</v>
      </c>
      <c r="V845" s="36"/>
    </row>
    <row r="846" spans="1:22" x14ac:dyDescent="0.25">
      <c r="A846" s="20">
        <v>845</v>
      </c>
      <c r="B846" s="21" t="s">
        <v>123</v>
      </c>
      <c r="C846" s="21" t="s">
        <v>117</v>
      </c>
      <c r="D846" s="6" t="s">
        <v>71</v>
      </c>
      <c r="E846" s="6">
        <v>3804009</v>
      </c>
      <c r="F846" s="6" t="s">
        <v>13</v>
      </c>
      <c r="G846" s="6" t="s">
        <v>42</v>
      </c>
      <c r="H846" s="6" t="s">
        <v>41</v>
      </c>
      <c r="I846" s="23">
        <v>15839.38</v>
      </c>
      <c r="J846" s="23">
        <v>15310.15</v>
      </c>
      <c r="K846" s="23">
        <v>977</v>
      </c>
      <c r="L846" s="23"/>
      <c r="M846" s="23">
        <f>3529.62-159</f>
        <v>3370.62</v>
      </c>
      <c r="N846" s="47">
        <v>782.49</v>
      </c>
      <c r="O846" s="23">
        <f>+Table24[[#This Row],[FoodcostBlueline]]+Table24[[#This Row],[Pepsico]]</f>
        <v>4153.1099999999997</v>
      </c>
      <c r="P846" s="24">
        <f t="shared" si="34"/>
        <v>0.26220155081827695</v>
      </c>
      <c r="Q846" s="24"/>
      <c r="R846" s="23">
        <f>1562.32+500+1784</f>
        <v>3846.3199999999997</v>
      </c>
      <c r="S846" s="25">
        <f t="shared" si="35"/>
        <v>0.24283273713996381</v>
      </c>
      <c r="T846" s="24"/>
      <c r="U846" s="36">
        <f>Table24[[#This Row],[WagesPercent]]+Table24[[#This Row],[FoodCostPercent]]</f>
        <v>0.50503428795824079</v>
      </c>
      <c r="V846" s="36"/>
    </row>
    <row r="847" spans="1:22" x14ac:dyDescent="0.25">
      <c r="A847" s="20">
        <v>846</v>
      </c>
      <c r="B847" s="21" t="s">
        <v>123</v>
      </c>
      <c r="C847" s="21" t="s">
        <v>117</v>
      </c>
      <c r="D847" s="6" t="s">
        <v>71</v>
      </c>
      <c r="E847" s="6">
        <v>3804010</v>
      </c>
      <c r="F847" s="6" t="s">
        <v>14</v>
      </c>
      <c r="G847" s="6" t="s">
        <v>122</v>
      </c>
      <c r="H847" s="6" t="s">
        <v>41</v>
      </c>
      <c r="I847" s="23">
        <v>5946.17</v>
      </c>
      <c r="J847" s="23">
        <v>8121.81</v>
      </c>
      <c r="K847" s="23">
        <v>362</v>
      </c>
      <c r="L847" s="23"/>
      <c r="M847" s="23">
        <v>2065.6799999999998</v>
      </c>
      <c r="N847" s="47">
        <v>0</v>
      </c>
      <c r="O847" s="23">
        <f>+Table24[[#This Row],[FoodcostBlueline]]+Table24[[#This Row],[Pepsico]]</f>
        <v>2065.6799999999998</v>
      </c>
      <c r="P847" s="24">
        <f t="shared" si="34"/>
        <v>0.34739672764149021</v>
      </c>
      <c r="Q847" s="24"/>
      <c r="R847" s="23">
        <f>2559.2+250</f>
        <v>2809.2</v>
      </c>
      <c r="S847" s="25">
        <f t="shared" si="35"/>
        <v>0.47243856129239492</v>
      </c>
      <c r="T847" s="24"/>
      <c r="U847" s="36">
        <f>Table24[[#This Row],[WagesPercent]]+Table24[[#This Row],[FoodCostPercent]]</f>
        <v>0.81983528893388513</v>
      </c>
      <c r="V847" s="36"/>
    </row>
    <row r="848" spans="1:22" x14ac:dyDescent="0.25">
      <c r="A848" s="20">
        <v>847</v>
      </c>
      <c r="B848" s="21" t="s">
        <v>123</v>
      </c>
      <c r="C848" s="21" t="s">
        <v>117</v>
      </c>
      <c r="D848" s="6" t="s">
        <v>71</v>
      </c>
      <c r="E848" s="6">
        <v>3804011</v>
      </c>
      <c r="F848" s="6" t="s">
        <v>15</v>
      </c>
      <c r="G848" s="6" t="s">
        <v>79</v>
      </c>
      <c r="H848" s="6" t="s">
        <v>41</v>
      </c>
      <c r="I848" s="23">
        <v>28356.51</v>
      </c>
      <c r="J848" s="23">
        <v>20191.28</v>
      </c>
      <c r="K848" s="23">
        <v>1795</v>
      </c>
      <c r="L848" s="23"/>
      <c r="M848" s="23">
        <f>7978.17-93</f>
        <v>7885.17</v>
      </c>
      <c r="N848" s="47">
        <v>623.23</v>
      </c>
      <c r="O848" s="23">
        <f>+Table24[[#This Row],[FoodcostBlueline]]+Table24[[#This Row],[Pepsico]]</f>
        <v>8508.4</v>
      </c>
      <c r="P848" s="24">
        <f t="shared" si="34"/>
        <v>0.30005102884663876</v>
      </c>
      <c r="Q848" s="24"/>
      <c r="R848" s="23">
        <v>2912.58</v>
      </c>
      <c r="S848" s="25">
        <f t="shared" si="35"/>
        <v>0.10271292200626947</v>
      </c>
      <c r="T848" s="24"/>
      <c r="U848" s="36">
        <f>Table24[[#This Row],[WagesPercent]]+Table24[[#This Row],[FoodCostPercent]]</f>
        <v>0.40276395085290823</v>
      </c>
      <c r="V848" s="36"/>
    </row>
    <row r="849" spans="1:22" x14ac:dyDescent="0.25">
      <c r="A849" s="20">
        <v>848</v>
      </c>
      <c r="B849" s="21" t="s">
        <v>123</v>
      </c>
      <c r="C849" s="21" t="s">
        <v>117</v>
      </c>
      <c r="D849" s="6" t="s">
        <v>71</v>
      </c>
      <c r="E849" s="6">
        <v>3804013</v>
      </c>
      <c r="F849" s="6" t="s">
        <v>17</v>
      </c>
      <c r="G849" s="6" t="s">
        <v>122</v>
      </c>
      <c r="H849" s="6" t="s">
        <v>41</v>
      </c>
      <c r="I849" s="23">
        <v>9032.43</v>
      </c>
      <c r="J849" s="23">
        <v>8040.68</v>
      </c>
      <c r="K849" s="23">
        <v>558</v>
      </c>
      <c r="L849" s="23"/>
      <c r="M849" s="23">
        <f>1966.87-69</f>
        <v>1897.87</v>
      </c>
      <c r="N849" s="47">
        <v>215.57</v>
      </c>
      <c r="O849" s="23">
        <f>+Table24[[#This Row],[FoodcostBlueline]]+Table24[[#This Row],[Pepsico]]</f>
        <v>2113.44</v>
      </c>
      <c r="P849" s="24">
        <f t="shared" si="34"/>
        <v>0.23398354595607163</v>
      </c>
      <c r="Q849" s="24"/>
      <c r="R849" s="23">
        <v>2387.8200000000002</v>
      </c>
      <c r="S849" s="25">
        <f t="shared" si="35"/>
        <v>0.26436075341851528</v>
      </c>
      <c r="T849" s="24"/>
      <c r="U849" s="36">
        <f>Table24[[#This Row],[WagesPercent]]+Table24[[#This Row],[FoodCostPercent]]</f>
        <v>0.49834429937458691</v>
      </c>
      <c r="V849" s="36"/>
    </row>
    <row r="850" spans="1:22" x14ac:dyDescent="0.25">
      <c r="A850" s="20">
        <v>849</v>
      </c>
      <c r="B850" s="21" t="s">
        <v>123</v>
      </c>
      <c r="C850" s="21" t="s">
        <v>117</v>
      </c>
      <c r="D850" s="6" t="s">
        <v>71</v>
      </c>
      <c r="E850" s="6">
        <v>3804014</v>
      </c>
      <c r="F850" s="6" t="s">
        <v>18</v>
      </c>
      <c r="G850" s="6" t="s">
        <v>122</v>
      </c>
      <c r="H850" s="6" t="s">
        <v>41</v>
      </c>
      <c r="I850" s="23">
        <v>7586.3</v>
      </c>
      <c r="J850" s="23">
        <v>10285.23</v>
      </c>
      <c r="K850" s="23">
        <v>467</v>
      </c>
      <c r="L850" s="23"/>
      <c r="M850" s="23">
        <f>2668.26-36</f>
        <v>2632.26</v>
      </c>
      <c r="N850" s="47">
        <v>0</v>
      </c>
      <c r="O850" s="23">
        <f>+Table24[[#This Row],[FoodcostBlueline]]+Table24[[#This Row],[Pepsico]]</f>
        <v>2632.26</v>
      </c>
      <c r="P850" s="24">
        <f t="shared" si="34"/>
        <v>0.3469754689374267</v>
      </c>
      <c r="Q850" s="24"/>
      <c r="R850" s="23">
        <f>701.09+1449.56+100</f>
        <v>2250.65</v>
      </c>
      <c r="S850" s="25">
        <f t="shared" si="35"/>
        <v>0.29667294992288734</v>
      </c>
      <c r="T850" s="24"/>
      <c r="U850" s="36">
        <f>Table24[[#This Row],[WagesPercent]]+Table24[[#This Row],[FoodCostPercent]]</f>
        <v>0.64364841886031399</v>
      </c>
      <c r="V850" s="36"/>
    </row>
    <row r="851" spans="1:22" x14ac:dyDescent="0.25">
      <c r="A851" s="20">
        <v>850</v>
      </c>
      <c r="B851" s="21" t="s">
        <v>123</v>
      </c>
      <c r="C851" s="21" t="s">
        <v>117</v>
      </c>
      <c r="D851" s="6" t="s">
        <v>71</v>
      </c>
      <c r="E851" s="6">
        <v>3804015</v>
      </c>
      <c r="F851" s="6" t="s">
        <v>19</v>
      </c>
      <c r="G851" s="6" t="s">
        <v>20</v>
      </c>
      <c r="H851" s="6" t="s">
        <v>41</v>
      </c>
      <c r="I851" s="23">
        <v>15237.04</v>
      </c>
      <c r="J851" s="23">
        <v>16443.25</v>
      </c>
      <c r="K851" s="23">
        <v>966</v>
      </c>
      <c r="L851" s="23"/>
      <c r="M851" s="23">
        <f>4130.91-51</f>
        <v>4079.91</v>
      </c>
      <c r="N851" s="47">
        <v>200.32</v>
      </c>
      <c r="O851" s="23">
        <f>+Table24[[#This Row],[FoodcostBlueline]]+Table24[[#This Row],[Pepsico]]</f>
        <v>4280.2299999999996</v>
      </c>
      <c r="P851" s="24">
        <f t="shared" si="34"/>
        <v>0.2809095467361114</v>
      </c>
      <c r="Q851" s="24"/>
      <c r="R851" s="23">
        <v>3741.97</v>
      </c>
      <c r="S851" s="25">
        <f t="shared" si="35"/>
        <v>0.24558378792731395</v>
      </c>
      <c r="T851" s="24"/>
      <c r="U851" s="36">
        <f>Table24[[#This Row],[WagesPercent]]+Table24[[#This Row],[FoodCostPercent]]</f>
        <v>0.52649333466342529</v>
      </c>
      <c r="V851" s="36"/>
    </row>
    <row r="852" spans="1:22" x14ac:dyDescent="0.25">
      <c r="A852" s="20">
        <v>851</v>
      </c>
      <c r="B852" s="21" t="s">
        <v>123</v>
      </c>
      <c r="C852" s="21" t="s">
        <v>117</v>
      </c>
      <c r="D852" s="6" t="s">
        <v>71</v>
      </c>
      <c r="E852" s="6">
        <v>3804016</v>
      </c>
      <c r="F852" s="6" t="s">
        <v>21</v>
      </c>
      <c r="G852" s="6" t="s">
        <v>120</v>
      </c>
      <c r="H852" s="6" t="s">
        <v>40</v>
      </c>
      <c r="I852" s="23">
        <v>13752.52</v>
      </c>
      <c r="J852" s="23">
        <v>14965.47</v>
      </c>
      <c r="K852" s="23">
        <v>807</v>
      </c>
      <c r="L852" s="23"/>
      <c r="M852" s="23">
        <f>4577.63-37.05-57</f>
        <v>4483.58</v>
      </c>
      <c r="N852" s="47">
        <v>192.36</v>
      </c>
      <c r="O852" s="23">
        <f>+Table24[[#This Row],[FoodcostBlueline]]+Table24[[#This Row],[Pepsico]]</f>
        <v>4675.9399999999996</v>
      </c>
      <c r="P852" s="24">
        <f t="shared" si="34"/>
        <v>0.34000604980032745</v>
      </c>
      <c r="Q852" s="24"/>
      <c r="R852" s="23">
        <v>3173.39</v>
      </c>
      <c r="S852" s="25">
        <f t="shared" si="35"/>
        <v>0.23074970987135446</v>
      </c>
      <c r="T852" s="24"/>
      <c r="U852" s="36">
        <f>Table24[[#This Row],[WagesPercent]]+Table24[[#This Row],[FoodCostPercent]]</f>
        <v>0.57075575967168191</v>
      </c>
      <c r="V852" s="36"/>
    </row>
    <row r="853" spans="1:22" x14ac:dyDescent="0.25">
      <c r="A853" s="20">
        <v>852</v>
      </c>
      <c r="B853" s="21" t="s">
        <v>123</v>
      </c>
      <c r="C853" s="21" t="s">
        <v>117</v>
      </c>
      <c r="D853" s="6" t="s">
        <v>71</v>
      </c>
      <c r="E853" s="6">
        <v>3804017</v>
      </c>
      <c r="F853" s="6" t="s">
        <v>23</v>
      </c>
      <c r="G853" s="6" t="s">
        <v>120</v>
      </c>
      <c r="H853" s="6" t="s">
        <v>40</v>
      </c>
      <c r="I853" s="23">
        <v>15624.02</v>
      </c>
      <c r="J853" s="23">
        <v>17378.64</v>
      </c>
      <c r="K853" s="23">
        <v>1000</v>
      </c>
      <c r="L853" s="23"/>
      <c r="M853" s="23">
        <f>4666.5-27</f>
        <v>4639.5</v>
      </c>
      <c r="N853" s="47">
        <v>0</v>
      </c>
      <c r="O853" s="23">
        <f>+Table24[[#This Row],[FoodcostBlueline]]+Table24[[#This Row],[Pepsico]]</f>
        <v>4639.5</v>
      </c>
      <c r="P853" s="24">
        <f t="shared" si="34"/>
        <v>0.29694662449228815</v>
      </c>
      <c r="Q853" s="24"/>
      <c r="R853" s="23">
        <v>3803</v>
      </c>
      <c r="S853" s="25">
        <f t="shared" si="35"/>
        <v>0.2434072665037551</v>
      </c>
      <c r="T853" s="24"/>
      <c r="U853" s="36">
        <f>Table24[[#This Row],[WagesPercent]]+Table24[[#This Row],[FoodCostPercent]]</f>
        <v>0.54035389099604325</v>
      </c>
      <c r="V853" s="36"/>
    </row>
    <row r="854" spans="1:22" x14ac:dyDescent="0.25">
      <c r="A854" s="20">
        <v>853</v>
      </c>
      <c r="B854" s="21" t="s">
        <v>123</v>
      </c>
      <c r="C854" s="21" t="s">
        <v>117</v>
      </c>
      <c r="D854" s="6" t="s">
        <v>71</v>
      </c>
      <c r="E854" s="6">
        <v>3804018</v>
      </c>
      <c r="F854" s="6" t="s">
        <v>24</v>
      </c>
      <c r="G854" s="6" t="s">
        <v>20</v>
      </c>
      <c r="H854" s="6" t="s">
        <v>41</v>
      </c>
      <c r="I854" s="23">
        <v>20871.11</v>
      </c>
      <c r="J854" s="23">
        <v>20539.02</v>
      </c>
      <c r="K854" s="23">
        <v>1239</v>
      </c>
      <c r="L854" s="23"/>
      <c r="M854" s="23">
        <f>5162.08-12.35+1366.2-36</f>
        <v>6479.9299999999994</v>
      </c>
      <c r="N854" s="47">
        <v>402.45</v>
      </c>
      <c r="O854" s="23">
        <f>+Table24[[#This Row],[FoodcostBlueline]]+Table24[[#This Row],[Pepsico]]</f>
        <v>6882.3799999999992</v>
      </c>
      <c r="P854" s="24">
        <f t="shared" si="34"/>
        <v>0.32975629949724761</v>
      </c>
      <c r="Q854" s="24"/>
      <c r="R854" s="23">
        <v>5208.38</v>
      </c>
      <c r="S854" s="25">
        <f t="shared" si="35"/>
        <v>0.2495497364538829</v>
      </c>
      <c r="T854" s="24"/>
      <c r="U854" s="36">
        <f>Table24[[#This Row],[WagesPercent]]+Table24[[#This Row],[FoodCostPercent]]</f>
        <v>0.5793060359511305</v>
      </c>
      <c r="V854" s="36"/>
    </row>
    <row r="855" spans="1:22" x14ac:dyDescent="0.25">
      <c r="A855" s="20">
        <v>854</v>
      </c>
      <c r="B855" s="21" t="s">
        <v>123</v>
      </c>
      <c r="C855" s="21" t="s">
        <v>117</v>
      </c>
      <c r="D855" s="6" t="s">
        <v>71</v>
      </c>
      <c r="E855" s="6">
        <v>3804019</v>
      </c>
      <c r="F855" s="6" t="s">
        <v>25</v>
      </c>
      <c r="G855" s="6" t="s">
        <v>20</v>
      </c>
      <c r="H855" s="6" t="s">
        <v>41</v>
      </c>
      <c r="I855" s="23">
        <v>14218.85</v>
      </c>
      <c r="J855" s="23">
        <v>13486.37</v>
      </c>
      <c r="K855" s="23">
        <v>860</v>
      </c>
      <c r="L855" s="23"/>
      <c r="M855" s="23">
        <f>4559.04-15</f>
        <v>4544.04</v>
      </c>
      <c r="N855" s="47">
        <v>257.02</v>
      </c>
      <c r="O855" s="23">
        <f>+Table24[[#This Row],[FoodcostBlueline]]+Table24[[#This Row],[Pepsico]]</f>
        <v>4801.0599999999995</v>
      </c>
      <c r="P855" s="24">
        <f t="shared" si="34"/>
        <v>0.33765459231935069</v>
      </c>
      <c r="Q855" s="24"/>
      <c r="R855" s="23">
        <v>3275.84</v>
      </c>
      <c r="S855" s="25">
        <f t="shared" si="35"/>
        <v>0.23038712694767863</v>
      </c>
      <c r="T855" s="24"/>
      <c r="U855" s="36">
        <f>Table24[[#This Row],[WagesPercent]]+Table24[[#This Row],[FoodCostPercent]]</f>
        <v>0.56804171926702929</v>
      </c>
      <c r="V855" s="36"/>
    </row>
    <row r="856" spans="1:22" x14ac:dyDescent="0.25">
      <c r="A856" s="20">
        <v>855</v>
      </c>
      <c r="B856" s="21" t="s">
        <v>123</v>
      </c>
      <c r="C856" s="21" t="s">
        <v>117</v>
      </c>
      <c r="D856" s="6" t="s">
        <v>71</v>
      </c>
      <c r="E856" s="6">
        <v>3804020</v>
      </c>
      <c r="F856" s="6" t="s">
        <v>26</v>
      </c>
      <c r="G856" s="6" t="s">
        <v>120</v>
      </c>
      <c r="H856" s="6" t="s">
        <v>40</v>
      </c>
      <c r="I856" s="23">
        <v>12702.95</v>
      </c>
      <c r="J856" s="23">
        <v>12893.83</v>
      </c>
      <c r="K856" s="23">
        <v>757</v>
      </c>
      <c r="L856" s="23"/>
      <c r="M856" s="23">
        <f>4292.09-15</f>
        <v>4277.09</v>
      </c>
      <c r="N856" s="47">
        <v>377.54</v>
      </c>
      <c r="O856" s="23">
        <f>+Table24[[#This Row],[FoodcostBlueline]]+Table24[[#This Row],[Pepsico]]</f>
        <v>4654.63</v>
      </c>
      <c r="P856" s="24">
        <f t="shared" si="34"/>
        <v>0.3664211856301095</v>
      </c>
      <c r="Q856" s="24"/>
      <c r="R856" s="23">
        <v>2789.41</v>
      </c>
      <c r="S856" s="25">
        <f t="shared" si="35"/>
        <v>0.21958757611420968</v>
      </c>
      <c r="T856" s="24"/>
      <c r="U856" s="36">
        <f>Table24[[#This Row],[WagesPercent]]+Table24[[#This Row],[FoodCostPercent]]</f>
        <v>0.58600876174431915</v>
      </c>
      <c r="V856" s="36"/>
    </row>
    <row r="857" spans="1:22" x14ac:dyDescent="0.25">
      <c r="A857" s="20">
        <v>856</v>
      </c>
      <c r="B857" s="21" t="s">
        <v>123</v>
      </c>
      <c r="C857" s="21" t="s">
        <v>117</v>
      </c>
      <c r="D857" s="6" t="s">
        <v>71</v>
      </c>
      <c r="E857" s="6">
        <v>3804021</v>
      </c>
      <c r="F857" s="6" t="s">
        <v>27</v>
      </c>
      <c r="G857" s="6" t="s">
        <v>120</v>
      </c>
      <c r="H857" s="6" t="s">
        <v>40</v>
      </c>
      <c r="I857" s="23">
        <v>16934.310000000001</v>
      </c>
      <c r="J857" s="23">
        <v>22007.72</v>
      </c>
      <c r="K857" s="23">
        <v>1060</v>
      </c>
      <c r="L857" s="23"/>
      <c r="M857" s="23">
        <f>8136.35-12.35-30</f>
        <v>8094</v>
      </c>
      <c r="N857" s="47">
        <v>584.16999999999996</v>
      </c>
      <c r="O857" s="23">
        <f>+Table24[[#This Row],[FoodcostBlueline]]+Table24[[#This Row],[Pepsico]]</f>
        <v>8678.17</v>
      </c>
      <c r="P857" s="24">
        <f t="shared" si="34"/>
        <v>0.51246079704457992</v>
      </c>
      <c r="Q857" s="24"/>
      <c r="R857" s="23">
        <v>4581.4799999999996</v>
      </c>
      <c r="S857" s="25">
        <f t="shared" si="35"/>
        <v>0.27054423829491719</v>
      </c>
      <c r="T857" s="24"/>
      <c r="U857" s="36">
        <f>Table24[[#This Row],[WagesPercent]]+Table24[[#This Row],[FoodCostPercent]]</f>
        <v>0.78300503533949706</v>
      </c>
      <c r="V857" s="36"/>
    </row>
    <row r="858" spans="1:22" x14ac:dyDescent="0.25">
      <c r="A858" s="20">
        <v>857</v>
      </c>
      <c r="B858" s="21" t="s">
        <v>123</v>
      </c>
      <c r="C858" s="21" t="s">
        <v>117</v>
      </c>
      <c r="D858" s="6" t="s">
        <v>71</v>
      </c>
      <c r="E858" s="6">
        <v>3804022</v>
      </c>
      <c r="F858" s="6" t="s">
        <v>28</v>
      </c>
      <c r="G858" s="6" t="s">
        <v>120</v>
      </c>
      <c r="H858" s="6" t="s">
        <v>40</v>
      </c>
      <c r="I858" s="23">
        <v>12106.14</v>
      </c>
      <c r="J858" s="23">
        <v>14708.82</v>
      </c>
      <c r="K858" s="23">
        <v>735</v>
      </c>
      <c r="L858" s="23"/>
      <c r="M858" s="23">
        <f>4735.66-24</f>
        <v>4711.66</v>
      </c>
      <c r="N858" s="47">
        <v>284.8</v>
      </c>
      <c r="O858" s="23">
        <f>+Table24[[#This Row],[FoodcostBlueline]]+Table24[[#This Row],[Pepsico]]</f>
        <v>4996.46</v>
      </c>
      <c r="P858" s="24">
        <f t="shared" si="34"/>
        <v>0.41272114811161942</v>
      </c>
      <c r="Q858" s="24"/>
      <c r="R858" s="23">
        <v>2966.09</v>
      </c>
      <c r="S858" s="25">
        <f t="shared" si="35"/>
        <v>0.24500707905244778</v>
      </c>
      <c r="T858" s="24"/>
      <c r="U858" s="36">
        <f>Table24[[#This Row],[WagesPercent]]+Table24[[#This Row],[FoodCostPercent]]</f>
        <v>0.6577282271640672</v>
      </c>
      <c r="V858" s="36"/>
    </row>
    <row r="859" spans="1:22" x14ac:dyDescent="0.25">
      <c r="A859" s="20">
        <v>858</v>
      </c>
      <c r="B859" s="21" t="s">
        <v>123</v>
      </c>
      <c r="C859" s="21" t="s">
        <v>117</v>
      </c>
      <c r="D859" s="6" t="s">
        <v>71</v>
      </c>
      <c r="E859" s="6">
        <v>3804023</v>
      </c>
      <c r="F859" s="6" t="s">
        <v>29</v>
      </c>
      <c r="G859" s="6" t="s">
        <v>120</v>
      </c>
      <c r="H859" s="6" t="s">
        <v>40</v>
      </c>
      <c r="I859" s="23">
        <v>13314.3</v>
      </c>
      <c r="J859" s="23">
        <v>16077.53</v>
      </c>
      <c r="K859" s="23">
        <v>844</v>
      </c>
      <c r="L859" s="23"/>
      <c r="M859" s="23">
        <f>4032.82-27</f>
        <v>4005.82</v>
      </c>
      <c r="N859" s="47">
        <v>429.52</v>
      </c>
      <c r="O859" s="23">
        <f>+Table24[[#This Row],[FoodcostBlueline]]+Table24[[#This Row],[Pepsico]]</f>
        <v>4435.34</v>
      </c>
      <c r="P859" s="24">
        <f t="shared" si="34"/>
        <v>0.33312603741841479</v>
      </c>
      <c r="Q859" s="24"/>
      <c r="R859" s="23">
        <v>3557.25</v>
      </c>
      <c r="S859" s="25">
        <f t="shared" si="35"/>
        <v>0.26717514251594154</v>
      </c>
      <c r="T859" s="24"/>
      <c r="U859" s="36">
        <f>Table24[[#This Row],[WagesPercent]]+Table24[[#This Row],[FoodCostPercent]]</f>
        <v>0.60030117993435628</v>
      </c>
      <c r="V859" s="36"/>
    </row>
    <row r="860" spans="1:22" x14ac:dyDescent="0.25">
      <c r="A860" s="20">
        <v>859</v>
      </c>
      <c r="B860" s="21" t="s">
        <v>123</v>
      </c>
      <c r="C860" s="21" t="s">
        <v>117</v>
      </c>
      <c r="D860" s="6" t="s">
        <v>71</v>
      </c>
      <c r="E860" s="6">
        <v>3804024</v>
      </c>
      <c r="F860" s="6" t="s">
        <v>30</v>
      </c>
      <c r="G860" s="6" t="s">
        <v>20</v>
      </c>
      <c r="H860" s="6" t="s">
        <v>41</v>
      </c>
      <c r="I860" s="23">
        <v>9739.86</v>
      </c>
      <c r="J860" s="23">
        <v>12103.15</v>
      </c>
      <c r="K860" s="23">
        <v>597</v>
      </c>
      <c r="L860" s="23"/>
      <c r="M860" s="23">
        <f>3237.93-129</f>
        <v>3108.93</v>
      </c>
      <c r="N860" s="47">
        <v>250.11</v>
      </c>
      <c r="O860" s="23">
        <f>+Table24[[#This Row],[FoodcostBlueline]]+Table24[[#This Row],[Pepsico]]</f>
        <v>3359.04</v>
      </c>
      <c r="P860" s="24">
        <f t="shared" si="34"/>
        <v>0.34487559369436521</v>
      </c>
      <c r="Q860" s="24"/>
      <c r="R860" s="23">
        <f>3300.76+69.23</f>
        <v>3369.9900000000002</v>
      </c>
      <c r="S860" s="25">
        <f t="shared" si="35"/>
        <v>0.34599983983342675</v>
      </c>
      <c r="T860" s="24"/>
      <c r="U860" s="36">
        <f>Table24[[#This Row],[WagesPercent]]+Table24[[#This Row],[FoodCostPercent]]</f>
        <v>0.69087543352779202</v>
      </c>
      <c r="V860" s="36"/>
    </row>
    <row r="861" spans="1:22" x14ac:dyDescent="0.25">
      <c r="A861" s="20">
        <v>860</v>
      </c>
      <c r="B861" s="21" t="s">
        <v>123</v>
      </c>
      <c r="C861" s="21" t="s">
        <v>117</v>
      </c>
      <c r="D861" s="6" t="s">
        <v>71</v>
      </c>
      <c r="E861" s="6">
        <v>3804025</v>
      </c>
      <c r="F861" s="6" t="s">
        <v>31</v>
      </c>
      <c r="G861" s="6" t="s">
        <v>20</v>
      </c>
      <c r="H861" s="6" t="s">
        <v>41</v>
      </c>
      <c r="I861" s="23">
        <v>23777.360000000001</v>
      </c>
      <c r="J861" s="23">
        <v>25446.81</v>
      </c>
      <c r="K861" s="23">
        <v>1502</v>
      </c>
      <c r="L861" s="23"/>
      <c r="M861" s="23">
        <f>7320.38-81</f>
        <v>7239.38</v>
      </c>
      <c r="N861" s="47">
        <v>546.84</v>
      </c>
      <c r="O861" s="23">
        <f>+Table24[[#This Row],[FoodcostBlueline]]+Table24[[#This Row],[Pepsico]]</f>
        <v>7786.22</v>
      </c>
      <c r="P861" s="24">
        <f t="shared" si="34"/>
        <v>0.32746360403341668</v>
      </c>
      <c r="Q861" s="24"/>
      <c r="R861" s="23">
        <v>5680.61</v>
      </c>
      <c r="S861" s="25">
        <f t="shared" si="35"/>
        <v>0.23890835652065662</v>
      </c>
      <c r="T861" s="24"/>
      <c r="U861" s="36">
        <f>Table24[[#This Row],[WagesPercent]]+Table24[[#This Row],[FoodCostPercent]]</f>
        <v>0.56637196055407335</v>
      </c>
      <c r="V861" s="36"/>
    </row>
    <row r="862" spans="1:22" x14ac:dyDescent="0.25">
      <c r="A862" s="20">
        <v>861</v>
      </c>
      <c r="B862" s="21" t="s">
        <v>123</v>
      </c>
      <c r="C862" s="21" t="s">
        <v>117</v>
      </c>
      <c r="D862" s="6" t="s">
        <v>71</v>
      </c>
      <c r="E862" s="6">
        <v>3804026</v>
      </c>
      <c r="F862" s="6" t="s">
        <v>32</v>
      </c>
      <c r="G862" s="6" t="s">
        <v>79</v>
      </c>
      <c r="H862" s="6" t="s">
        <v>41</v>
      </c>
      <c r="I862" s="23">
        <v>12576.89</v>
      </c>
      <c r="J862" s="23">
        <v>12668.51</v>
      </c>
      <c r="K862" s="23">
        <v>753</v>
      </c>
      <c r="L862" s="23"/>
      <c r="M862" s="37">
        <f>3760.77-56.54-56.54-111</f>
        <v>3536.69</v>
      </c>
      <c r="N862" s="47">
        <f>340.39-15.02</f>
        <v>325.37</v>
      </c>
      <c r="O862" s="23">
        <f>+Table24[[#This Row],[FoodcostBlueline]]+Table24[[#This Row],[Pepsico]]</f>
        <v>3862.06</v>
      </c>
      <c r="P862" s="24">
        <f t="shared" si="34"/>
        <v>0.30707591463390393</v>
      </c>
      <c r="Q862" s="24"/>
      <c r="R862" s="23">
        <v>3789.98</v>
      </c>
      <c r="S862" s="25">
        <f t="shared" si="35"/>
        <v>0.30134476806269278</v>
      </c>
      <c r="T862" s="24"/>
      <c r="U862" s="36">
        <f>Table24[[#This Row],[WagesPercent]]+Table24[[#This Row],[FoodCostPercent]]</f>
        <v>0.60842068269659677</v>
      </c>
      <c r="V862" s="36"/>
    </row>
    <row r="863" spans="1:22" x14ac:dyDescent="0.25">
      <c r="A863" s="20">
        <v>862</v>
      </c>
      <c r="B863" s="21" t="s">
        <v>123</v>
      </c>
      <c r="C863" s="21" t="s">
        <v>117</v>
      </c>
      <c r="D863" s="6" t="s">
        <v>71</v>
      </c>
      <c r="E863" s="6">
        <v>3804027</v>
      </c>
      <c r="F863" s="6" t="s">
        <v>33</v>
      </c>
      <c r="G863" s="6" t="s">
        <v>43</v>
      </c>
      <c r="H863" s="6" t="s">
        <v>41</v>
      </c>
      <c r="I863" s="23">
        <v>16417.3</v>
      </c>
      <c r="J863" s="23">
        <v>15832.33</v>
      </c>
      <c r="K863" s="23">
        <v>1148</v>
      </c>
      <c r="L863" s="23"/>
      <c r="M863" s="23">
        <f>5153.24-37.4-198</f>
        <v>4917.84</v>
      </c>
      <c r="N863" s="47">
        <v>0</v>
      </c>
      <c r="O863" s="23">
        <f>+Table24[[#This Row],[FoodcostBlueline]]+Table24[[#This Row],[Pepsico]]</f>
        <v>4917.84</v>
      </c>
      <c r="P863" s="24">
        <f t="shared" si="34"/>
        <v>0.29955230153557533</v>
      </c>
      <c r="Q863" s="24"/>
      <c r="R863" s="23">
        <f>1781.83+377+2807</f>
        <v>4965.83</v>
      </c>
      <c r="S863" s="25">
        <f t="shared" si="35"/>
        <v>0.30247543749581235</v>
      </c>
      <c r="T863" s="24"/>
      <c r="U863" s="36">
        <f>Table24[[#This Row],[WagesPercent]]+Table24[[#This Row],[FoodCostPercent]]</f>
        <v>0.60202773903138773</v>
      </c>
      <c r="V863" s="36"/>
    </row>
    <row r="864" spans="1:22" x14ac:dyDescent="0.25">
      <c r="A864" s="20">
        <v>863</v>
      </c>
      <c r="B864" s="21" t="s">
        <v>123</v>
      </c>
      <c r="C864" s="21" t="s">
        <v>117</v>
      </c>
      <c r="D864" s="6" t="s">
        <v>71</v>
      </c>
      <c r="E864" s="6">
        <v>3804029</v>
      </c>
      <c r="F864" s="6" t="s">
        <v>34</v>
      </c>
      <c r="G864" s="6" t="s">
        <v>43</v>
      </c>
      <c r="H864" s="6" t="s">
        <v>41</v>
      </c>
      <c r="I864" s="23">
        <v>8429.15</v>
      </c>
      <c r="J864" s="23">
        <v>12046.95</v>
      </c>
      <c r="K864" s="23">
        <v>542</v>
      </c>
      <c r="L864" s="23"/>
      <c r="M864" s="23">
        <f>2669.14-105</f>
        <v>2564.14</v>
      </c>
      <c r="N864" s="47">
        <v>723.54</v>
      </c>
      <c r="O864" s="23">
        <f>+Table24[[#This Row],[FoodcostBlueline]]+Table24[[#This Row],[Pepsico]]</f>
        <v>3287.68</v>
      </c>
      <c r="P864" s="24">
        <f t="shared" si="34"/>
        <v>0.3900369550903709</v>
      </c>
      <c r="Q864" s="24"/>
      <c r="R864" s="23">
        <f>1104+269.61</f>
        <v>1373.6100000000001</v>
      </c>
      <c r="S864" s="25">
        <f t="shared" si="35"/>
        <v>0.16295949176370098</v>
      </c>
      <c r="T864" s="24"/>
      <c r="U864" s="36">
        <f>Table24[[#This Row],[WagesPercent]]+Table24[[#This Row],[FoodCostPercent]]</f>
        <v>0.5529964468540719</v>
      </c>
      <c r="V864" s="36"/>
    </row>
    <row r="865" spans="1:22" x14ac:dyDescent="0.25">
      <c r="A865" s="20">
        <v>864</v>
      </c>
      <c r="B865" s="21" t="s">
        <v>123</v>
      </c>
      <c r="C865" s="21" t="s">
        <v>117</v>
      </c>
      <c r="D865" s="6" t="s">
        <v>71</v>
      </c>
      <c r="E865" s="6">
        <v>3804030</v>
      </c>
      <c r="F865" s="6" t="s">
        <v>35</v>
      </c>
      <c r="G865" s="6" t="s">
        <v>5</v>
      </c>
      <c r="H865" s="6" t="s">
        <v>40</v>
      </c>
      <c r="I865" s="23">
        <v>9394.17</v>
      </c>
      <c r="J865" s="23">
        <v>9020.19</v>
      </c>
      <c r="K865" s="23">
        <v>554</v>
      </c>
      <c r="L865" s="23"/>
      <c r="M865" s="23">
        <f>2757.38-126</f>
        <v>2631.38</v>
      </c>
      <c r="N865" s="47">
        <v>222.47</v>
      </c>
      <c r="O865" s="23">
        <f>+Table24[[#This Row],[FoodcostBlueline]]+Table24[[#This Row],[Pepsico]]</f>
        <v>2853.85</v>
      </c>
      <c r="P865" s="24">
        <f t="shared" si="34"/>
        <v>0.30378947794217048</v>
      </c>
      <c r="Q865" s="24"/>
      <c r="R865" s="23">
        <v>2506.5</v>
      </c>
      <c r="S865" s="25">
        <f t="shared" si="35"/>
        <v>0.26681441787832239</v>
      </c>
      <c r="T865" s="24"/>
      <c r="U865" s="36">
        <f>Table24[[#This Row],[WagesPercent]]+Table24[[#This Row],[FoodCostPercent]]</f>
        <v>0.57060389582049287</v>
      </c>
      <c r="V865" s="36"/>
    </row>
    <row r="866" spans="1:22" x14ac:dyDescent="0.25">
      <c r="A866" s="20">
        <v>865</v>
      </c>
      <c r="B866" s="21" t="s">
        <v>123</v>
      </c>
      <c r="C866" s="21" t="s">
        <v>117</v>
      </c>
      <c r="D866" s="6" t="s">
        <v>71</v>
      </c>
      <c r="E866" s="6">
        <v>3804031</v>
      </c>
      <c r="F866" s="6" t="s">
        <v>36</v>
      </c>
      <c r="G866" s="6" t="s">
        <v>5</v>
      </c>
      <c r="H866" s="6" t="s">
        <v>40</v>
      </c>
      <c r="I866" s="23">
        <v>10093.06</v>
      </c>
      <c r="J866" s="23">
        <v>10702.73</v>
      </c>
      <c r="K866" s="23">
        <v>659</v>
      </c>
      <c r="L866" s="23"/>
      <c r="M866" s="23">
        <f>3197.39-150</f>
        <v>3047.39</v>
      </c>
      <c r="N866" s="47">
        <v>199.16</v>
      </c>
      <c r="O866" s="23">
        <f>+Table24[[#This Row],[FoodcostBlueline]]+Table24[[#This Row],[Pepsico]]</f>
        <v>3246.5499999999997</v>
      </c>
      <c r="P866" s="24">
        <f t="shared" si="34"/>
        <v>0.32166161699226992</v>
      </c>
      <c r="Q866" s="24"/>
      <c r="R866" s="23">
        <f>2145.25+1225</f>
        <v>3370.25</v>
      </c>
      <c r="S866" s="25">
        <f t="shared" si="35"/>
        <v>0.33391756315725857</v>
      </c>
      <c r="T866" s="24"/>
      <c r="U866" s="36">
        <f>Table24[[#This Row],[WagesPercent]]+Table24[[#This Row],[FoodCostPercent]]</f>
        <v>0.65557918014952854</v>
      </c>
      <c r="V866" s="36"/>
    </row>
    <row r="867" spans="1:22" x14ac:dyDescent="0.25">
      <c r="A867" s="20">
        <v>866</v>
      </c>
      <c r="B867" s="21" t="s">
        <v>123</v>
      </c>
      <c r="C867" s="21" t="s">
        <v>117</v>
      </c>
      <c r="D867" s="6" t="s">
        <v>71</v>
      </c>
      <c r="E867" s="6">
        <v>3804032</v>
      </c>
      <c r="F867" s="6" t="s">
        <v>37</v>
      </c>
      <c r="G867" s="6" t="s">
        <v>5</v>
      </c>
      <c r="H867" s="6" t="s">
        <v>40</v>
      </c>
      <c r="I867" s="23">
        <v>10303.790000000001</v>
      </c>
      <c r="J867" s="23">
        <v>4239.47</v>
      </c>
      <c r="K867" s="23">
        <v>576</v>
      </c>
      <c r="L867" s="23"/>
      <c r="M867" s="23">
        <f>3530.12-129</f>
        <v>3401.12</v>
      </c>
      <c r="N867" s="47">
        <v>0</v>
      </c>
      <c r="O867" s="23">
        <f>+Table24[[#This Row],[FoodcostBlueline]]+Table24[[#This Row],[Pepsico]]</f>
        <v>3401.12</v>
      </c>
      <c r="P867" s="24">
        <f t="shared" si="34"/>
        <v>0.33008436701446747</v>
      </c>
      <c r="Q867" s="24"/>
      <c r="R867" s="23">
        <f>1350+850+200</f>
        <v>2400</v>
      </c>
      <c r="S867" s="25">
        <f t="shared" si="35"/>
        <v>0.23292400175081207</v>
      </c>
      <c r="T867" s="24"/>
      <c r="U867" s="36">
        <f>Table24[[#This Row],[WagesPercent]]+Table24[[#This Row],[FoodCostPercent]]</f>
        <v>0.5630083687652796</v>
      </c>
      <c r="V867" s="36"/>
    </row>
    <row r="868" spans="1:22" x14ac:dyDescent="0.25">
      <c r="A868" s="20">
        <v>867</v>
      </c>
      <c r="B868" s="21" t="s">
        <v>123</v>
      </c>
      <c r="C868" s="21" t="s">
        <v>117</v>
      </c>
      <c r="D868" s="6" t="s">
        <v>71</v>
      </c>
      <c r="E868" s="6">
        <v>3804033</v>
      </c>
      <c r="F868" s="6" t="s">
        <v>38</v>
      </c>
      <c r="G868" s="6" t="s">
        <v>5</v>
      </c>
      <c r="H868" s="6" t="s">
        <v>40</v>
      </c>
      <c r="I868" s="23">
        <v>7095.3</v>
      </c>
      <c r="J868" s="23">
        <v>7709.76</v>
      </c>
      <c r="K868" s="23">
        <v>531</v>
      </c>
      <c r="L868" s="23"/>
      <c r="M868" s="23">
        <f>248.46+3034.76-117</f>
        <v>3166.2200000000003</v>
      </c>
      <c r="N868" s="47">
        <v>192.77</v>
      </c>
      <c r="O868" s="23">
        <f>+Table24[[#This Row],[FoodcostBlueline]]+Table24[[#This Row],[Pepsico]]</f>
        <v>3358.9900000000002</v>
      </c>
      <c r="P868" s="24">
        <f t="shared" si="34"/>
        <v>0.47341056755880656</v>
      </c>
      <c r="Q868" s="24"/>
      <c r="R868" s="23">
        <f>1323.25+600+165.58</f>
        <v>2088.83</v>
      </c>
      <c r="S868" s="25">
        <f t="shared" si="35"/>
        <v>0.29439629050216337</v>
      </c>
      <c r="T868" s="24"/>
      <c r="U868" s="36">
        <f>Table24[[#This Row],[WagesPercent]]+Table24[[#This Row],[FoodCostPercent]]</f>
        <v>0.76780685806096993</v>
      </c>
      <c r="V868" s="36"/>
    </row>
    <row r="869" spans="1:22" x14ac:dyDescent="0.25">
      <c r="A869" s="20">
        <v>868</v>
      </c>
      <c r="B869" s="21" t="s">
        <v>123</v>
      </c>
      <c r="C869" s="21" t="s">
        <v>117</v>
      </c>
      <c r="D869" s="6" t="s">
        <v>71</v>
      </c>
      <c r="E869" s="6">
        <v>3804034</v>
      </c>
      <c r="F869" s="6" t="s">
        <v>53</v>
      </c>
      <c r="G869" s="6" t="s">
        <v>79</v>
      </c>
      <c r="H869" s="6" t="s">
        <v>41</v>
      </c>
      <c r="I869" s="23">
        <v>7505.27</v>
      </c>
      <c r="J869" s="23">
        <v>11611.49</v>
      </c>
      <c r="K869" s="23">
        <v>450</v>
      </c>
      <c r="L869" s="23"/>
      <c r="M869" s="23">
        <f>2123.52-30-22.52</f>
        <v>2071</v>
      </c>
      <c r="N869" s="47">
        <v>0</v>
      </c>
      <c r="O869" s="23">
        <f>+Table24[[#This Row],[FoodcostBlueline]]+Table24[[#This Row],[Pepsico]]</f>
        <v>2071</v>
      </c>
      <c r="P869" s="24">
        <f t="shared" si="34"/>
        <v>0.27593943988690611</v>
      </c>
      <c r="Q869" s="24"/>
      <c r="R869" s="23">
        <v>2400</v>
      </c>
      <c r="S869" s="25">
        <f t="shared" si="35"/>
        <v>0.31977530455266762</v>
      </c>
      <c r="T869" s="24"/>
      <c r="U869" s="36">
        <f>Table24[[#This Row],[WagesPercent]]+Table24[[#This Row],[FoodCostPercent]]</f>
        <v>0.59571474443957373</v>
      </c>
      <c r="V869" s="36"/>
    </row>
    <row r="870" spans="1:22" x14ac:dyDescent="0.25">
      <c r="A870" s="20">
        <v>869</v>
      </c>
      <c r="B870" s="21" t="s">
        <v>124</v>
      </c>
      <c r="C870" s="21" t="s">
        <v>125</v>
      </c>
      <c r="D870" s="6" t="s">
        <v>72</v>
      </c>
      <c r="E870" s="6">
        <v>3804001</v>
      </c>
      <c r="F870" s="6" t="s">
        <v>4</v>
      </c>
      <c r="G870" s="6" t="s">
        <v>5</v>
      </c>
      <c r="H870" s="6" t="s">
        <v>40</v>
      </c>
      <c r="I870" s="23">
        <v>27154.31</v>
      </c>
      <c r="J870" s="23">
        <v>27326.66</v>
      </c>
      <c r="K870" s="23">
        <v>1767</v>
      </c>
      <c r="L870" s="23"/>
      <c r="M870" s="37">
        <f>7422.99-47</f>
        <v>7375.99</v>
      </c>
      <c r="N870" s="47">
        <v>0</v>
      </c>
      <c r="O870" s="23">
        <f>+Table24[[#This Row],[FoodcostBlueline]]+Table24[[#This Row],[Pepsico]]</f>
        <v>7375.99</v>
      </c>
      <c r="P870" s="24">
        <f t="shared" si="34"/>
        <v>0.27163238542978996</v>
      </c>
      <c r="Q870" s="24"/>
      <c r="R870" s="23">
        <f>6193.47+165.58</f>
        <v>6359.05</v>
      </c>
      <c r="S870" s="25">
        <f t="shared" si="35"/>
        <v>0.2341819770047554</v>
      </c>
      <c r="T870" s="24"/>
      <c r="U870" s="36">
        <f>Table24[[#This Row],[WagesPercent]]+Table24[[#This Row],[FoodCostPercent]]</f>
        <v>0.50581436243454536</v>
      </c>
      <c r="V870" s="36"/>
    </row>
    <row r="871" spans="1:22" x14ac:dyDescent="0.25">
      <c r="A871" s="20">
        <v>870</v>
      </c>
      <c r="B871" s="21" t="s">
        <v>124</v>
      </c>
      <c r="C871" s="21" t="s">
        <v>125</v>
      </c>
      <c r="D871" s="6" t="s">
        <v>72</v>
      </c>
      <c r="E871" s="6">
        <v>3804002</v>
      </c>
      <c r="F871" s="6" t="s">
        <v>6</v>
      </c>
      <c r="G871" s="6" t="s">
        <v>7</v>
      </c>
      <c r="H871" s="6" t="s">
        <v>41</v>
      </c>
      <c r="I871" s="23">
        <v>13294.2</v>
      </c>
      <c r="J871" s="23">
        <v>13717.56</v>
      </c>
      <c r="K871" s="23">
        <v>1066</v>
      </c>
      <c r="L871" s="23"/>
      <c r="M871" s="23">
        <f>118.81+3938.56-94.99+662.56+226.16-32</f>
        <v>4819.1000000000004</v>
      </c>
      <c r="N871" s="47">
        <v>529.39</v>
      </c>
      <c r="O871" s="23">
        <f>+Table24[[#This Row],[FoodcostBlueline]]+Table24[[#This Row],[Pepsico]]</f>
        <v>5348.4900000000007</v>
      </c>
      <c r="P871" s="24">
        <f t="shared" si="34"/>
        <v>0.40231755201516456</v>
      </c>
      <c r="Q871" s="24"/>
      <c r="R871" s="23">
        <v>3784.14</v>
      </c>
      <c r="S871" s="25">
        <f t="shared" si="35"/>
        <v>0.2846459358216365</v>
      </c>
      <c r="T871" s="24"/>
      <c r="U871" s="36">
        <f>Table24[[#This Row],[WagesPercent]]+Table24[[#This Row],[FoodCostPercent]]</f>
        <v>0.68696348783680106</v>
      </c>
      <c r="V871" s="36"/>
    </row>
    <row r="872" spans="1:22" x14ac:dyDescent="0.25">
      <c r="A872" s="20">
        <v>871</v>
      </c>
      <c r="B872" s="21" t="s">
        <v>124</v>
      </c>
      <c r="C872" s="21" t="s">
        <v>125</v>
      </c>
      <c r="D872" s="6" t="s">
        <v>72</v>
      </c>
      <c r="E872" s="6">
        <v>3804003</v>
      </c>
      <c r="F872" s="6" t="s">
        <v>8</v>
      </c>
      <c r="G872" s="6" t="s">
        <v>7</v>
      </c>
      <c r="H872" s="6" t="s">
        <v>41</v>
      </c>
      <c r="I872" s="23">
        <v>11759.8</v>
      </c>
      <c r="J872" s="23">
        <v>9730.59</v>
      </c>
      <c r="K872" s="23">
        <v>803</v>
      </c>
      <c r="L872" s="23"/>
      <c r="M872" s="23">
        <f>2575.46-20</f>
        <v>2555.46</v>
      </c>
      <c r="N872" s="47">
        <v>646.01</v>
      </c>
      <c r="O872" s="23">
        <f>+Table24[[#This Row],[FoodcostBlueline]]+Table24[[#This Row],[Pepsico]]</f>
        <v>3201.4700000000003</v>
      </c>
      <c r="P872" s="24">
        <f t="shared" si="34"/>
        <v>0.27223847344342594</v>
      </c>
      <c r="Q872" s="24"/>
      <c r="R872" s="23">
        <v>3356.03</v>
      </c>
      <c r="S872" s="25">
        <f t="shared" si="35"/>
        <v>0.2853815541080631</v>
      </c>
      <c r="T872" s="24"/>
      <c r="U872" s="36">
        <f>Table24[[#This Row],[WagesPercent]]+Table24[[#This Row],[FoodCostPercent]]</f>
        <v>0.55762002755148909</v>
      </c>
      <c r="V872" s="36"/>
    </row>
    <row r="873" spans="1:22" x14ac:dyDescent="0.25">
      <c r="A873" s="20">
        <v>872</v>
      </c>
      <c r="B873" s="21" t="s">
        <v>124</v>
      </c>
      <c r="C873" s="21" t="s">
        <v>125</v>
      </c>
      <c r="D873" s="6" t="s">
        <v>72</v>
      </c>
      <c r="E873" s="6">
        <v>3804004</v>
      </c>
      <c r="F873" s="6" t="s">
        <v>9</v>
      </c>
      <c r="G873" s="6" t="s">
        <v>7</v>
      </c>
      <c r="H873" s="6" t="s">
        <v>41</v>
      </c>
      <c r="I873" s="23">
        <v>14288.56</v>
      </c>
      <c r="J873" s="23">
        <v>14608.78</v>
      </c>
      <c r="K873" s="23">
        <v>1016</v>
      </c>
      <c r="L873" s="23"/>
      <c r="M873" s="23">
        <f>4749.59-26</f>
        <v>4723.59</v>
      </c>
      <c r="N873" s="47">
        <v>375.21</v>
      </c>
      <c r="O873" s="23">
        <f>+Table24[[#This Row],[FoodcostBlueline]]+Table24[[#This Row],[Pepsico]]</f>
        <v>5098.8</v>
      </c>
      <c r="P873" s="24">
        <f t="shared" si="34"/>
        <v>0.35684491649263467</v>
      </c>
      <c r="Q873" s="24"/>
      <c r="R873" s="23">
        <v>3989.41</v>
      </c>
      <c r="S873" s="25">
        <f t="shared" si="35"/>
        <v>0.27920308274591699</v>
      </c>
      <c r="T873" s="24"/>
      <c r="U873" s="36">
        <f>Table24[[#This Row],[WagesPercent]]+Table24[[#This Row],[FoodCostPercent]]</f>
        <v>0.63604799923855171</v>
      </c>
      <c r="V873" s="36"/>
    </row>
    <row r="874" spans="1:22" x14ac:dyDescent="0.25">
      <c r="A874" s="20">
        <v>873</v>
      </c>
      <c r="B874" s="21" t="s">
        <v>124</v>
      </c>
      <c r="C874" s="21" t="s">
        <v>125</v>
      </c>
      <c r="D874" s="6" t="s">
        <v>72</v>
      </c>
      <c r="E874" s="6">
        <v>3804005</v>
      </c>
      <c r="F874" s="6" t="s">
        <v>10</v>
      </c>
      <c r="G874" s="6" t="s">
        <v>7</v>
      </c>
      <c r="H874" s="6" t="s">
        <v>41</v>
      </c>
      <c r="I874" s="23">
        <v>9447.8700000000008</v>
      </c>
      <c r="J874" s="23">
        <v>15726.42</v>
      </c>
      <c r="K874" s="23">
        <v>625</v>
      </c>
      <c r="L874" s="23"/>
      <c r="M874" s="23">
        <f>2909.91-33</f>
        <v>2876.91</v>
      </c>
      <c r="N874" s="47">
        <v>654.46</v>
      </c>
      <c r="O874" s="23">
        <f>+Table24[[#This Row],[FoodcostBlueline]]+Table24[[#This Row],[Pepsico]]</f>
        <v>3531.37</v>
      </c>
      <c r="P874" s="24">
        <f t="shared" si="34"/>
        <v>0.3737741946068267</v>
      </c>
      <c r="Q874" s="24"/>
      <c r="R874" s="23">
        <v>2986.42</v>
      </c>
      <c r="S874" s="25">
        <f t="shared" si="35"/>
        <v>0.31609452712621994</v>
      </c>
      <c r="T874" s="24"/>
      <c r="U874" s="36">
        <f>Table24[[#This Row],[WagesPercent]]+Table24[[#This Row],[FoodCostPercent]]</f>
        <v>0.68986872173304659</v>
      </c>
      <c r="V874" s="36"/>
    </row>
    <row r="875" spans="1:22" x14ac:dyDescent="0.25">
      <c r="A875" s="20">
        <v>874</v>
      </c>
      <c r="B875" s="21" t="s">
        <v>124</v>
      </c>
      <c r="C875" s="21" t="s">
        <v>125</v>
      </c>
      <c r="D875" s="6" t="s">
        <v>72</v>
      </c>
      <c r="E875" s="6">
        <v>3804006</v>
      </c>
      <c r="F875" s="6" t="s">
        <v>11</v>
      </c>
      <c r="G875" s="6" t="s">
        <v>7</v>
      </c>
      <c r="H875" s="6" t="s">
        <v>41</v>
      </c>
      <c r="I875" s="23">
        <v>7504.26</v>
      </c>
      <c r="J875" s="23">
        <v>10746.24</v>
      </c>
      <c r="K875" s="23">
        <v>531</v>
      </c>
      <c r="L875" s="23"/>
      <c r="M875" s="23">
        <f>2132.73-29</f>
        <v>2103.73</v>
      </c>
      <c r="N875" s="47">
        <v>322.02</v>
      </c>
      <c r="O875" s="23">
        <f>+Table24[[#This Row],[FoodcostBlueline]]+Table24[[#This Row],[Pepsico]]</f>
        <v>2425.75</v>
      </c>
      <c r="P875" s="24">
        <f t="shared" si="34"/>
        <v>0.32324972748812009</v>
      </c>
      <c r="Q875" s="24"/>
      <c r="R875" s="23">
        <v>1491.14</v>
      </c>
      <c r="S875" s="25">
        <f t="shared" si="35"/>
        <v>0.1987058017712606</v>
      </c>
      <c r="T875" s="24"/>
      <c r="U875" s="36">
        <f>Table24[[#This Row],[WagesPercent]]+Table24[[#This Row],[FoodCostPercent]]</f>
        <v>0.52195552925938071</v>
      </c>
      <c r="V875" s="36"/>
    </row>
    <row r="876" spans="1:22" x14ac:dyDescent="0.25">
      <c r="A876" s="20">
        <v>875</v>
      </c>
      <c r="B876" s="21" t="s">
        <v>124</v>
      </c>
      <c r="C876" s="21" t="s">
        <v>125</v>
      </c>
      <c r="D876" s="6" t="s">
        <v>72</v>
      </c>
      <c r="E876" s="6">
        <v>3804008</v>
      </c>
      <c r="F876" s="6" t="s">
        <v>12</v>
      </c>
      <c r="G876" s="6" t="s">
        <v>42</v>
      </c>
      <c r="H876" s="6" t="s">
        <v>41</v>
      </c>
      <c r="I876" s="23">
        <v>20803.05</v>
      </c>
      <c r="J876" s="23">
        <v>22464.03</v>
      </c>
      <c r="K876" s="23">
        <v>1283</v>
      </c>
      <c r="L876" s="23"/>
      <c r="M876" s="23">
        <f>5253.46-57</f>
        <v>5196.46</v>
      </c>
      <c r="N876" s="47">
        <v>205.5</v>
      </c>
      <c r="O876" s="23">
        <f>+Table24[[#This Row],[FoodcostBlueline]]+Table24[[#This Row],[Pepsico]]</f>
        <v>5401.96</v>
      </c>
      <c r="P876" s="24">
        <f t="shared" si="34"/>
        <v>0.259671538548434</v>
      </c>
      <c r="Q876" s="24"/>
      <c r="R876" s="23">
        <f>2100+300+562</f>
        <v>2962</v>
      </c>
      <c r="S876" s="25">
        <f t="shared" si="35"/>
        <v>0.14238296788211344</v>
      </c>
      <c r="T876" s="24"/>
      <c r="U876" s="36">
        <f>Table24[[#This Row],[WagesPercent]]+Table24[[#This Row],[FoodCostPercent]]</f>
        <v>0.40205450643054741</v>
      </c>
      <c r="V876" s="36"/>
    </row>
    <row r="877" spans="1:22" x14ac:dyDescent="0.25">
      <c r="A877" s="20">
        <v>876</v>
      </c>
      <c r="B877" s="21" t="s">
        <v>124</v>
      </c>
      <c r="C877" s="21" t="s">
        <v>125</v>
      </c>
      <c r="D877" s="6" t="s">
        <v>72</v>
      </c>
      <c r="E877" s="6">
        <v>3804009</v>
      </c>
      <c r="F877" s="6" t="s">
        <v>13</v>
      </c>
      <c r="G877" s="6" t="s">
        <v>42</v>
      </c>
      <c r="H877" s="6" t="s">
        <v>41</v>
      </c>
      <c r="I877" s="23">
        <v>16751.03</v>
      </c>
      <c r="J877" s="23">
        <v>16161.09</v>
      </c>
      <c r="K877" s="23">
        <v>1001</v>
      </c>
      <c r="L877" s="23"/>
      <c r="M877" s="23">
        <f>4283.03-82</f>
        <v>4201.03</v>
      </c>
      <c r="N877" s="47">
        <v>0</v>
      </c>
      <c r="O877" s="23">
        <f>+Table24[[#This Row],[FoodcostBlueline]]+Table24[[#This Row],[Pepsico]]</f>
        <v>4201.03</v>
      </c>
      <c r="P877" s="24">
        <f t="shared" si="34"/>
        <v>0.25079233933674527</v>
      </c>
      <c r="Q877" s="24"/>
      <c r="R877" s="23">
        <f>1588.36+500+2108</f>
        <v>4196.3599999999997</v>
      </c>
      <c r="S877" s="25">
        <f t="shared" si="35"/>
        <v>0.25051355051002833</v>
      </c>
      <c r="T877" s="24"/>
      <c r="U877" s="36">
        <f>Table24[[#This Row],[WagesPercent]]+Table24[[#This Row],[FoodCostPercent]]</f>
        <v>0.5013058898467736</v>
      </c>
      <c r="V877" s="36"/>
    </row>
    <row r="878" spans="1:22" x14ac:dyDescent="0.25">
      <c r="A878" s="20">
        <v>877</v>
      </c>
      <c r="B878" s="21" t="s">
        <v>124</v>
      </c>
      <c r="C878" s="21" t="s">
        <v>125</v>
      </c>
      <c r="D878" s="6" t="s">
        <v>72</v>
      </c>
      <c r="E878" s="6">
        <v>3804010</v>
      </c>
      <c r="F878" s="6" t="s">
        <v>14</v>
      </c>
      <c r="G878" s="6" t="s">
        <v>122</v>
      </c>
      <c r="H878" s="6" t="s">
        <v>41</v>
      </c>
      <c r="I878" s="23">
        <v>7150.08</v>
      </c>
      <c r="J878" s="23">
        <v>8363.94</v>
      </c>
      <c r="K878" s="23">
        <v>425</v>
      </c>
      <c r="L878" s="23"/>
      <c r="M878" s="23">
        <f>1755.83-13</f>
        <v>1742.83</v>
      </c>
      <c r="N878" s="47">
        <v>538.17999999999995</v>
      </c>
      <c r="O878" s="23">
        <f>+Table24[[#This Row],[FoodcostBlueline]]+Table24[[#This Row],[Pepsico]]</f>
        <v>2281.0099999999998</v>
      </c>
      <c r="P878" s="24">
        <f t="shared" si="34"/>
        <v>0.31901880818116718</v>
      </c>
      <c r="Q878" s="24"/>
      <c r="R878" s="23">
        <f>3759.98+250</f>
        <v>4009.98</v>
      </c>
      <c r="S878" s="25">
        <f t="shared" si="35"/>
        <v>0.5608300886143931</v>
      </c>
      <c r="T878" s="24"/>
      <c r="U878" s="36">
        <f>Table24[[#This Row],[WagesPercent]]+Table24[[#This Row],[FoodCostPercent]]</f>
        <v>0.87984889679556022</v>
      </c>
      <c r="V878" s="36"/>
    </row>
    <row r="879" spans="1:22" x14ac:dyDescent="0.25">
      <c r="A879" s="20">
        <v>878</v>
      </c>
      <c r="B879" s="21" t="s">
        <v>124</v>
      </c>
      <c r="C879" s="21" t="s">
        <v>125</v>
      </c>
      <c r="D879" s="6" t="s">
        <v>72</v>
      </c>
      <c r="E879" s="6">
        <v>3804011</v>
      </c>
      <c r="F879" s="6" t="s">
        <v>15</v>
      </c>
      <c r="G879" s="6" t="s">
        <v>79</v>
      </c>
      <c r="H879" s="6" t="s">
        <v>41</v>
      </c>
      <c r="I879" s="23">
        <v>27481.75</v>
      </c>
      <c r="J879" s="23">
        <v>25400.74</v>
      </c>
      <c r="K879" s="23">
        <v>1735</v>
      </c>
      <c r="L879" s="23"/>
      <c r="M879" s="23">
        <f>8020.1-33</f>
        <v>7987.1</v>
      </c>
      <c r="N879" s="47">
        <v>559.58000000000004</v>
      </c>
      <c r="O879" s="23">
        <f>+Table24[[#This Row],[FoodcostBlueline]]+Table24[[#This Row],[Pepsico]]</f>
        <v>8546.68</v>
      </c>
      <c r="P879" s="24">
        <f t="shared" si="34"/>
        <v>0.31099475106206848</v>
      </c>
      <c r="Q879" s="24"/>
      <c r="R879" s="23">
        <v>2876.44</v>
      </c>
      <c r="S879" s="25">
        <f t="shared" si="35"/>
        <v>0.10466727919437445</v>
      </c>
      <c r="T879" s="24"/>
      <c r="U879" s="36">
        <f>Table24[[#This Row],[WagesPercent]]+Table24[[#This Row],[FoodCostPercent]]</f>
        <v>0.41566203025644294</v>
      </c>
      <c r="V879" s="36"/>
    </row>
    <row r="880" spans="1:22" x14ac:dyDescent="0.25">
      <c r="A880" s="20">
        <v>879</v>
      </c>
      <c r="B880" s="21" t="s">
        <v>124</v>
      </c>
      <c r="C880" s="21" t="s">
        <v>125</v>
      </c>
      <c r="D880" s="6" t="s">
        <v>72</v>
      </c>
      <c r="E880" s="6">
        <v>3804013</v>
      </c>
      <c r="F880" s="6" t="s">
        <v>17</v>
      </c>
      <c r="G880" s="6" t="s">
        <v>122</v>
      </c>
      <c r="H880" s="6" t="s">
        <v>41</v>
      </c>
      <c r="I880" s="23">
        <v>8656.26</v>
      </c>
      <c r="J880" s="23">
        <v>9055.7999999999993</v>
      </c>
      <c r="K880" s="23">
        <v>532</v>
      </c>
      <c r="L880" s="23"/>
      <c r="M880" s="23">
        <f>2437.15-26</f>
        <v>2411.15</v>
      </c>
      <c r="N880" s="47">
        <v>285.02</v>
      </c>
      <c r="O880" s="23">
        <f>+Table24[[#This Row],[FoodcostBlueline]]+Table24[[#This Row],[Pepsico]]</f>
        <v>2696.17</v>
      </c>
      <c r="P880" s="24">
        <f t="shared" si="34"/>
        <v>0.31147054270551022</v>
      </c>
      <c r="Q880" s="24"/>
      <c r="R880" s="23">
        <v>2602.67</v>
      </c>
      <c r="S880" s="25">
        <f t="shared" si="35"/>
        <v>0.30066911114037703</v>
      </c>
      <c r="T880" s="24"/>
      <c r="U880" s="36">
        <f>Table24[[#This Row],[WagesPercent]]+Table24[[#This Row],[FoodCostPercent]]</f>
        <v>0.6121396538458872</v>
      </c>
      <c r="V880" s="36"/>
    </row>
    <row r="881" spans="1:22" x14ac:dyDescent="0.25">
      <c r="A881" s="20">
        <v>880</v>
      </c>
      <c r="B881" s="21" t="s">
        <v>124</v>
      </c>
      <c r="C881" s="21" t="s">
        <v>125</v>
      </c>
      <c r="D881" s="6" t="s">
        <v>72</v>
      </c>
      <c r="E881" s="6">
        <v>3804014</v>
      </c>
      <c r="F881" s="6" t="s">
        <v>18</v>
      </c>
      <c r="G881" s="6" t="s">
        <v>122</v>
      </c>
      <c r="H881" s="6" t="s">
        <v>41</v>
      </c>
      <c r="I881" s="23">
        <v>7411.12</v>
      </c>
      <c r="J881" s="23">
        <v>9098.98</v>
      </c>
      <c r="K881" s="23">
        <v>451</v>
      </c>
      <c r="L881" s="23"/>
      <c r="M881" s="23">
        <f>2363.26-24</f>
        <v>2339.2600000000002</v>
      </c>
      <c r="N881" s="47">
        <v>0</v>
      </c>
      <c r="O881" s="23">
        <f>+Table24[[#This Row],[FoodcostBlueline]]+Table24[[#This Row],[Pepsico]]</f>
        <v>2339.2600000000002</v>
      </c>
      <c r="P881" s="24">
        <f t="shared" si="34"/>
        <v>0.31564190027957989</v>
      </c>
      <c r="Q881" s="24"/>
      <c r="R881" s="23">
        <f>1833.91+100</f>
        <v>1933.91</v>
      </c>
      <c r="S881" s="25">
        <f t="shared" si="35"/>
        <v>0.26094706333185808</v>
      </c>
      <c r="T881" s="24"/>
      <c r="U881" s="36">
        <f>Table24[[#This Row],[WagesPercent]]+Table24[[#This Row],[FoodCostPercent]]</f>
        <v>0.57658896361143797</v>
      </c>
      <c r="V881" s="36"/>
    </row>
    <row r="882" spans="1:22" x14ac:dyDescent="0.25">
      <c r="A882" s="20">
        <v>881</v>
      </c>
      <c r="B882" s="21" t="s">
        <v>124</v>
      </c>
      <c r="C882" s="21" t="s">
        <v>125</v>
      </c>
      <c r="D882" s="6" t="s">
        <v>72</v>
      </c>
      <c r="E882" s="6">
        <v>3804015</v>
      </c>
      <c r="F882" s="6" t="s">
        <v>19</v>
      </c>
      <c r="G882" s="6" t="s">
        <v>20</v>
      </c>
      <c r="H882" s="6" t="s">
        <v>41</v>
      </c>
      <c r="I882" s="23">
        <v>14635.33</v>
      </c>
      <c r="J882" s="23">
        <v>15208.1</v>
      </c>
      <c r="K882" s="23">
        <v>954</v>
      </c>
      <c r="L882" s="23"/>
      <c r="M882" s="23">
        <f>5271.385-25</f>
        <v>5246.3850000000002</v>
      </c>
      <c r="N882" s="47">
        <v>240.58</v>
      </c>
      <c r="O882" s="23">
        <f>+Table24[[#This Row],[FoodcostBlueline]]+Table24[[#This Row],[Pepsico]]</f>
        <v>5486.9650000000001</v>
      </c>
      <c r="P882" s="24">
        <f t="shared" si="34"/>
        <v>0.37491228417808142</v>
      </c>
      <c r="Q882" s="24"/>
      <c r="R882" s="23">
        <v>3634.96</v>
      </c>
      <c r="S882" s="25">
        <f t="shared" si="35"/>
        <v>0.24836884443329943</v>
      </c>
      <c r="T882" s="24"/>
      <c r="U882" s="36">
        <f>Table24[[#This Row],[WagesPercent]]+Table24[[#This Row],[FoodCostPercent]]</f>
        <v>0.62328112861138085</v>
      </c>
      <c r="V882" s="36"/>
    </row>
    <row r="883" spans="1:22" x14ac:dyDescent="0.25">
      <c r="A883" s="20">
        <v>882</v>
      </c>
      <c r="B883" s="21" t="s">
        <v>124</v>
      </c>
      <c r="C883" s="21" t="s">
        <v>125</v>
      </c>
      <c r="D883" s="6" t="s">
        <v>72</v>
      </c>
      <c r="E883" s="6">
        <v>3804016</v>
      </c>
      <c r="F883" s="6" t="s">
        <v>21</v>
      </c>
      <c r="G883" s="6" t="s">
        <v>120</v>
      </c>
      <c r="H883" s="6" t="s">
        <v>40</v>
      </c>
      <c r="I883" s="23">
        <v>13715.02</v>
      </c>
      <c r="J883" s="23">
        <v>14080.98</v>
      </c>
      <c r="K883" s="23">
        <v>817</v>
      </c>
      <c r="L883" s="23"/>
      <c r="M883" s="23">
        <f>3670.31-17</f>
        <v>3653.31</v>
      </c>
      <c r="N883" s="47">
        <v>0</v>
      </c>
      <c r="O883" s="23">
        <f>+Table24[[#This Row],[FoodcostBlueline]]+Table24[[#This Row],[Pepsico]]</f>
        <v>3653.31</v>
      </c>
      <c r="P883" s="24">
        <f t="shared" si="34"/>
        <v>0.26637292544961655</v>
      </c>
      <c r="Q883" s="24"/>
      <c r="R883" s="23">
        <v>3457.97</v>
      </c>
      <c r="S883" s="25">
        <f t="shared" si="35"/>
        <v>0.25213014636508002</v>
      </c>
      <c r="T883" s="24"/>
      <c r="U883" s="36">
        <f>Table24[[#This Row],[WagesPercent]]+Table24[[#This Row],[FoodCostPercent]]</f>
        <v>0.51850307181469657</v>
      </c>
      <c r="V883" s="36"/>
    </row>
    <row r="884" spans="1:22" x14ac:dyDescent="0.25">
      <c r="A884" s="20">
        <v>883</v>
      </c>
      <c r="B884" s="21" t="s">
        <v>124</v>
      </c>
      <c r="C884" s="21" t="s">
        <v>125</v>
      </c>
      <c r="D884" s="6" t="s">
        <v>72</v>
      </c>
      <c r="E884" s="6">
        <v>3804017</v>
      </c>
      <c r="F884" s="6" t="s">
        <v>23</v>
      </c>
      <c r="G884" s="6" t="s">
        <v>120</v>
      </c>
      <c r="H884" s="6" t="s">
        <v>40</v>
      </c>
      <c r="I884" s="23">
        <v>16790.89</v>
      </c>
      <c r="J884" s="23">
        <v>17081.650000000001</v>
      </c>
      <c r="K884" s="23">
        <v>1097</v>
      </c>
      <c r="L884" s="23"/>
      <c r="M884" s="23">
        <f>4730.76-84.81-14</f>
        <v>4631.95</v>
      </c>
      <c r="N884" s="47">
        <v>0</v>
      </c>
      <c r="O884" s="23">
        <f>+Table24[[#This Row],[FoodcostBlueline]]+Table24[[#This Row],[Pepsico]]</f>
        <v>4631.95</v>
      </c>
      <c r="P884" s="24">
        <f t="shared" si="34"/>
        <v>0.27586089838001437</v>
      </c>
      <c r="Q884" s="24"/>
      <c r="R884" s="23">
        <v>3956.75</v>
      </c>
      <c r="S884" s="25">
        <f t="shared" si="35"/>
        <v>0.23564861660102593</v>
      </c>
      <c r="T884" s="24"/>
      <c r="U884" s="36">
        <f>Table24[[#This Row],[WagesPercent]]+Table24[[#This Row],[FoodCostPercent]]</f>
        <v>0.51150951498104025</v>
      </c>
      <c r="V884" s="36"/>
    </row>
    <row r="885" spans="1:22" x14ac:dyDescent="0.25">
      <c r="A885" s="20">
        <v>884</v>
      </c>
      <c r="B885" s="21" t="s">
        <v>124</v>
      </c>
      <c r="C885" s="21" t="s">
        <v>125</v>
      </c>
      <c r="D885" s="6" t="s">
        <v>72</v>
      </c>
      <c r="E885" s="6">
        <v>3804018</v>
      </c>
      <c r="F885" s="6" t="s">
        <v>24</v>
      </c>
      <c r="G885" s="6" t="s">
        <v>20</v>
      </c>
      <c r="H885" s="6" t="s">
        <v>41</v>
      </c>
      <c r="I885" s="23">
        <v>21313.84</v>
      </c>
      <c r="J885" s="23">
        <v>21928.59</v>
      </c>
      <c r="K885" s="23">
        <v>1233</v>
      </c>
      <c r="L885" s="23"/>
      <c r="M885" s="23">
        <f>7685.77-11</f>
        <v>7674.77</v>
      </c>
      <c r="N885" s="47">
        <v>605.47</v>
      </c>
      <c r="O885" s="23">
        <f>+Table24[[#This Row],[FoodcostBlueline]]+Table24[[#This Row],[Pepsico]]</f>
        <v>8280.24</v>
      </c>
      <c r="P885" s="24">
        <f t="shared" si="34"/>
        <v>0.38849123386494405</v>
      </c>
      <c r="Q885" s="24"/>
      <c r="R885" s="23">
        <v>4932.47</v>
      </c>
      <c r="S885" s="25">
        <f t="shared" si="35"/>
        <v>0.23142099218160594</v>
      </c>
      <c r="T885" s="24"/>
      <c r="U885" s="36">
        <f>Table24[[#This Row],[WagesPercent]]+Table24[[#This Row],[FoodCostPercent]]</f>
        <v>0.61991222604654994</v>
      </c>
      <c r="V885" s="36"/>
    </row>
    <row r="886" spans="1:22" x14ac:dyDescent="0.25">
      <c r="A886" s="20">
        <v>885</v>
      </c>
      <c r="B886" s="21" t="s">
        <v>124</v>
      </c>
      <c r="C886" s="21" t="s">
        <v>125</v>
      </c>
      <c r="D886" s="6" t="s">
        <v>72</v>
      </c>
      <c r="E886" s="6">
        <v>3804019</v>
      </c>
      <c r="F886" s="6" t="s">
        <v>25</v>
      </c>
      <c r="G886" s="6" t="s">
        <v>20</v>
      </c>
      <c r="H886" s="6" t="s">
        <v>41</v>
      </c>
      <c r="I886" s="23">
        <v>14456.74</v>
      </c>
      <c r="J886" s="23">
        <v>15061.9</v>
      </c>
      <c r="K886" s="23">
        <v>860</v>
      </c>
      <c r="L886" s="23"/>
      <c r="M886" s="23">
        <f>4496.64-12</f>
        <v>4484.6400000000003</v>
      </c>
      <c r="N886" s="47">
        <v>214.87</v>
      </c>
      <c r="O886" s="23">
        <f>+Table24[[#This Row],[FoodcostBlueline]]+Table24[[#This Row],[Pepsico]]</f>
        <v>4699.51</v>
      </c>
      <c r="P886" s="24">
        <f t="shared" si="34"/>
        <v>0.32507397933420679</v>
      </c>
      <c r="Q886" s="24"/>
      <c r="R886" s="23">
        <v>3269.47</v>
      </c>
      <c r="S886" s="25">
        <f t="shared" si="35"/>
        <v>0.22615541263106342</v>
      </c>
      <c r="T886" s="24"/>
      <c r="U886" s="36">
        <f>Table24[[#This Row],[WagesPercent]]+Table24[[#This Row],[FoodCostPercent]]</f>
        <v>0.55122939196527021</v>
      </c>
      <c r="V886" s="36"/>
    </row>
    <row r="887" spans="1:22" x14ac:dyDescent="0.25">
      <c r="A887" s="20">
        <v>886</v>
      </c>
      <c r="B887" s="21" t="s">
        <v>124</v>
      </c>
      <c r="C887" s="21" t="s">
        <v>125</v>
      </c>
      <c r="D887" s="6" t="s">
        <v>72</v>
      </c>
      <c r="E887" s="6">
        <v>3804020</v>
      </c>
      <c r="F887" s="6" t="s">
        <v>26</v>
      </c>
      <c r="G887" s="6" t="s">
        <v>120</v>
      </c>
      <c r="H887" s="6" t="s">
        <v>40</v>
      </c>
      <c r="I887" s="23">
        <v>12693.04</v>
      </c>
      <c r="J887" s="23">
        <v>12980.73</v>
      </c>
      <c r="K887" s="23">
        <v>731</v>
      </c>
      <c r="L887" s="23"/>
      <c r="M887" s="23">
        <f>777.33+503.7-12.35+3587.98-3</f>
        <v>4853.66</v>
      </c>
      <c r="N887" s="47">
        <v>259.08999999999997</v>
      </c>
      <c r="O887" s="23">
        <f>+Table24[[#This Row],[FoodcostBlueline]]+Table24[[#This Row],[Pepsico]]</f>
        <v>5112.75</v>
      </c>
      <c r="P887" s="24">
        <f t="shared" si="34"/>
        <v>0.40279948696293399</v>
      </c>
      <c r="Q887" s="24"/>
      <c r="R887" s="23">
        <v>2646.75</v>
      </c>
      <c r="S887" s="25">
        <f t="shared" si="35"/>
        <v>0.20851978722197359</v>
      </c>
      <c r="T887" s="24"/>
      <c r="U887" s="36">
        <f>Table24[[#This Row],[WagesPercent]]+Table24[[#This Row],[FoodCostPercent]]</f>
        <v>0.61131927418490761</v>
      </c>
      <c r="V887" s="36"/>
    </row>
    <row r="888" spans="1:22" x14ac:dyDescent="0.25">
      <c r="A888" s="20">
        <v>887</v>
      </c>
      <c r="B888" s="21" t="s">
        <v>124</v>
      </c>
      <c r="C888" s="21" t="s">
        <v>125</v>
      </c>
      <c r="D888" s="6" t="s">
        <v>72</v>
      </c>
      <c r="E888" s="6">
        <v>3804021</v>
      </c>
      <c r="F888" s="6" t="s">
        <v>27</v>
      </c>
      <c r="G888" s="6" t="s">
        <v>120</v>
      </c>
      <c r="H888" s="6" t="s">
        <v>40</v>
      </c>
      <c r="I888" s="23">
        <v>20375.009999999998</v>
      </c>
      <c r="J888" s="23">
        <v>22579.78</v>
      </c>
      <c r="K888" s="23">
        <v>1239</v>
      </c>
      <c r="L888" s="23"/>
      <c r="M888" s="23">
        <f>-12.35-48.82+7959-23</f>
        <v>7874.83</v>
      </c>
      <c r="N888" s="47">
        <v>697.34</v>
      </c>
      <c r="O888" s="23">
        <f>+Table24[[#This Row],[FoodcostBlueline]]+Table24[[#This Row],[Pepsico]]</f>
        <v>8572.17</v>
      </c>
      <c r="P888" s="24">
        <f t="shared" si="34"/>
        <v>0.42071979351175781</v>
      </c>
      <c r="Q888" s="24"/>
      <c r="R888" s="23">
        <v>5129.5</v>
      </c>
      <c r="S888" s="25">
        <f t="shared" si="35"/>
        <v>0.25175447766651404</v>
      </c>
      <c r="T888" s="24"/>
      <c r="U888" s="36">
        <f>Table24[[#This Row],[WagesPercent]]+Table24[[#This Row],[FoodCostPercent]]</f>
        <v>0.67247427117827185</v>
      </c>
      <c r="V888" s="36"/>
    </row>
    <row r="889" spans="1:22" x14ac:dyDescent="0.25">
      <c r="A889" s="20">
        <v>888</v>
      </c>
      <c r="B889" s="21" t="s">
        <v>124</v>
      </c>
      <c r="C889" s="21" t="s">
        <v>125</v>
      </c>
      <c r="D889" s="6" t="s">
        <v>72</v>
      </c>
      <c r="E889" s="6">
        <v>3804022</v>
      </c>
      <c r="F889" s="6" t="s">
        <v>28</v>
      </c>
      <c r="G889" s="6" t="s">
        <v>120</v>
      </c>
      <c r="H889" s="6" t="s">
        <v>40</v>
      </c>
      <c r="I889" s="23">
        <v>14231.41</v>
      </c>
      <c r="J889" s="23">
        <v>16160.31</v>
      </c>
      <c r="K889" s="23">
        <v>796</v>
      </c>
      <c r="L889" s="23"/>
      <c r="M889" s="23">
        <f>4577.47-3</f>
        <v>4574.47</v>
      </c>
      <c r="N889" s="47">
        <v>241.88</v>
      </c>
      <c r="O889" s="23">
        <f>+Table24[[#This Row],[FoodcostBlueline]]+Table24[[#This Row],[Pepsico]]</f>
        <v>4816.3500000000004</v>
      </c>
      <c r="P889" s="24">
        <f t="shared" si="34"/>
        <v>0.33843097767543767</v>
      </c>
      <c r="Q889" s="24"/>
      <c r="R889" s="23">
        <v>3081.66</v>
      </c>
      <c r="S889" s="25">
        <f t="shared" si="35"/>
        <v>0.21653933095877359</v>
      </c>
      <c r="T889" s="24"/>
      <c r="U889" s="36">
        <f>Table24[[#This Row],[WagesPercent]]+Table24[[#This Row],[FoodCostPercent]]</f>
        <v>0.55497030863421126</v>
      </c>
      <c r="V889" s="36"/>
    </row>
    <row r="890" spans="1:22" x14ac:dyDescent="0.25">
      <c r="A890" s="20">
        <v>889</v>
      </c>
      <c r="B890" s="21" t="s">
        <v>124</v>
      </c>
      <c r="C890" s="21" t="s">
        <v>125</v>
      </c>
      <c r="D890" s="6" t="s">
        <v>72</v>
      </c>
      <c r="E890" s="6">
        <v>3804023</v>
      </c>
      <c r="F890" s="6" t="s">
        <v>29</v>
      </c>
      <c r="G890" s="6" t="s">
        <v>120</v>
      </c>
      <c r="H890" s="6" t="s">
        <v>40</v>
      </c>
      <c r="I890" s="23">
        <v>13657.89</v>
      </c>
      <c r="J890" s="23">
        <v>17664.14</v>
      </c>
      <c r="K890" s="23">
        <v>839</v>
      </c>
      <c r="L890" s="23"/>
      <c r="M890" s="23">
        <f>5076.36-17</f>
        <v>5059.3599999999997</v>
      </c>
      <c r="N890" s="47">
        <v>0</v>
      </c>
      <c r="O890" s="23">
        <f>+Table24[[#This Row],[FoodcostBlueline]]+Table24[[#This Row],[Pepsico]]</f>
        <v>5059.3599999999997</v>
      </c>
      <c r="P890" s="24">
        <f t="shared" si="34"/>
        <v>0.37043496469806098</v>
      </c>
      <c r="Q890" s="24"/>
      <c r="R890" s="23">
        <v>3449.53</v>
      </c>
      <c r="S890" s="25">
        <f t="shared" si="35"/>
        <v>0.25256683133339047</v>
      </c>
      <c r="T890" s="24"/>
      <c r="U890" s="36">
        <f>Table24[[#This Row],[WagesPercent]]+Table24[[#This Row],[FoodCostPercent]]</f>
        <v>0.62300179603145145</v>
      </c>
      <c r="V890" s="36"/>
    </row>
    <row r="891" spans="1:22" x14ac:dyDescent="0.25">
      <c r="A891" s="20">
        <v>890</v>
      </c>
      <c r="B891" s="21" t="s">
        <v>124</v>
      </c>
      <c r="C891" s="21" t="s">
        <v>125</v>
      </c>
      <c r="D891" s="6" t="s">
        <v>72</v>
      </c>
      <c r="E891" s="6">
        <v>3804024</v>
      </c>
      <c r="F891" s="6" t="s">
        <v>30</v>
      </c>
      <c r="G891" s="6" t="s">
        <v>20</v>
      </c>
      <c r="H891" s="6" t="s">
        <v>41</v>
      </c>
      <c r="I891" s="23">
        <v>10299.64</v>
      </c>
      <c r="J891" s="23">
        <v>11833.68</v>
      </c>
      <c r="K891" s="23">
        <v>641</v>
      </c>
      <c r="L891" s="23"/>
      <c r="M891" s="23">
        <f>2933.15-27</f>
        <v>2906.15</v>
      </c>
      <c r="N891" s="47">
        <v>275.82</v>
      </c>
      <c r="O891" s="23">
        <f>+Table24[[#This Row],[FoodcostBlueline]]+Table24[[#This Row],[Pepsico]]</f>
        <v>3181.9700000000003</v>
      </c>
      <c r="P891" s="24">
        <f t="shared" si="34"/>
        <v>0.30893992411385257</v>
      </c>
      <c r="Q891" s="24"/>
      <c r="R891" s="23">
        <f>3155.13+69.23</f>
        <v>3224.36</v>
      </c>
      <c r="S891" s="25">
        <f t="shared" si="35"/>
        <v>0.3130556019433689</v>
      </c>
      <c r="T891" s="24"/>
      <c r="U891" s="36">
        <f>Table24[[#This Row],[WagesPercent]]+Table24[[#This Row],[FoodCostPercent]]</f>
        <v>0.62199552605722142</v>
      </c>
      <c r="V891" s="36"/>
    </row>
    <row r="892" spans="1:22" x14ac:dyDescent="0.25">
      <c r="A892" s="20">
        <v>891</v>
      </c>
      <c r="B892" s="21" t="s">
        <v>124</v>
      </c>
      <c r="C892" s="21" t="s">
        <v>125</v>
      </c>
      <c r="D892" s="6" t="s">
        <v>72</v>
      </c>
      <c r="E892" s="6">
        <v>3804025</v>
      </c>
      <c r="F892" s="6" t="s">
        <v>31</v>
      </c>
      <c r="G892" s="6" t="s">
        <v>20</v>
      </c>
      <c r="H892" s="6" t="s">
        <v>41</v>
      </c>
      <c r="I892" s="23">
        <v>26149.82</v>
      </c>
      <c r="J892" s="23">
        <v>27388.91</v>
      </c>
      <c r="K892" s="23">
        <v>1673</v>
      </c>
      <c r="L892" s="23"/>
      <c r="M892" s="23">
        <f>7866.51-37</f>
        <v>7829.51</v>
      </c>
      <c r="N892" s="47">
        <v>394.25</v>
      </c>
      <c r="O892" s="23">
        <f>+Table24[[#This Row],[FoodcostBlueline]]+Table24[[#This Row],[Pepsico]]</f>
        <v>8223.76</v>
      </c>
      <c r="P892" s="24">
        <f t="shared" si="34"/>
        <v>0.31448629474313783</v>
      </c>
      <c r="Q892" s="24"/>
      <c r="R892" s="23">
        <v>5840.24</v>
      </c>
      <c r="S892" s="25">
        <f t="shared" si="35"/>
        <v>0.22333767498208401</v>
      </c>
      <c r="T892" s="24"/>
      <c r="U892" s="36">
        <f>Table24[[#This Row],[WagesPercent]]+Table24[[#This Row],[FoodCostPercent]]</f>
        <v>0.53782396972522184</v>
      </c>
      <c r="V892" s="36"/>
    </row>
    <row r="893" spans="1:22" x14ac:dyDescent="0.25">
      <c r="A893" s="20">
        <v>892</v>
      </c>
      <c r="B893" s="21" t="s">
        <v>124</v>
      </c>
      <c r="C893" s="21" t="s">
        <v>125</v>
      </c>
      <c r="D893" s="6" t="s">
        <v>72</v>
      </c>
      <c r="E893" s="6">
        <v>3804026</v>
      </c>
      <c r="F893" s="6" t="s">
        <v>32</v>
      </c>
      <c r="G893" s="6" t="s">
        <v>79</v>
      </c>
      <c r="H893" s="6" t="s">
        <v>41</v>
      </c>
      <c r="I893" s="23">
        <v>12437.6</v>
      </c>
      <c r="J893" s="23">
        <v>11808.62</v>
      </c>
      <c r="K893" s="23">
        <v>743</v>
      </c>
      <c r="L893" s="23"/>
      <c r="M893" s="23">
        <f>21.4+3704.74-40</f>
        <v>3686.14</v>
      </c>
      <c r="N893" s="47">
        <v>251.96</v>
      </c>
      <c r="O893" s="23">
        <f>+Table24[[#This Row],[FoodcostBlueline]]+Table24[[#This Row],[Pepsico]]</f>
        <v>3938.1</v>
      </c>
      <c r="P893" s="24">
        <f t="shared" si="34"/>
        <v>0.31662861002122594</v>
      </c>
      <c r="Q893" s="24"/>
      <c r="R893" s="23">
        <v>3683.24</v>
      </c>
      <c r="S893" s="25">
        <f t="shared" si="35"/>
        <v>0.29613751849231362</v>
      </c>
      <c r="T893" s="24"/>
      <c r="U893" s="36">
        <f>Table24[[#This Row],[WagesPercent]]+Table24[[#This Row],[FoodCostPercent]]</f>
        <v>0.61276612851353951</v>
      </c>
      <c r="V893" s="36"/>
    </row>
    <row r="894" spans="1:22" x14ac:dyDescent="0.25">
      <c r="A894" s="20">
        <v>893</v>
      </c>
      <c r="B894" s="21" t="s">
        <v>124</v>
      </c>
      <c r="C894" s="21" t="s">
        <v>125</v>
      </c>
      <c r="D894" s="6" t="s">
        <v>72</v>
      </c>
      <c r="E894" s="6">
        <v>3804027</v>
      </c>
      <c r="F894" s="6" t="s">
        <v>33</v>
      </c>
      <c r="G894" s="6" t="s">
        <v>43</v>
      </c>
      <c r="H894" s="6" t="s">
        <v>41</v>
      </c>
      <c r="I894" s="23">
        <v>16399.91</v>
      </c>
      <c r="J894" s="23">
        <v>16545.59</v>
      </c>
      <c r="K894" s="23">
        <v>1132</v>
      </c>
      <c r="L894" s="23"/>
      <c r="M894" s="23">
        <f>3698.56-58</f>
        <v>3640.56</v>
      </c>
      <c r="N894" s="47">
        <v>614.45000000000005</v>
      </c>
      <c r="O894" s="23">
        <f>+Table24[[#This Row],[FoodcostBlueline]]+Table24[[#This Row],[Pepsico]]</f>
        <v>4255.01</v>
      </c>
      <c r="P894" s="24">
        <f t="shared" si="34"/>
        <v>0.2594532530971207</v>
      </c>
      <c r="Q894" s="24"/>
      <c r="R894" s="23">
        <f>1721.53+377+2807</f>
        <v>4905.53</v>
      </c>
      <c r="S894" s="25">
        <f t="shared" si="35"/>
        <v>0.29911932443531702</v>
      </c>
      <c r="T894" s="24"/>
      <c r="U894" s="36">
        <f>Table24[[#This Row],[WagesPercent]]+Table24[[#This Row],[FoodCostPercent]]</f>
        <v>0.55857257753243772</v>
      </c>
      <c r="V894" s="36"/>
    </row>
    <row r="895" spans="1:22" x14ac:dyDescent="0.25">
      <c r="A895" s="20">
        <v>894</v>
      </c>
      <c r="B895" s="21" t="s">
        <v>124</v>
      </c>
      <c r="C895" s="21" t="s">
        <v>125</v>
      </c>
      <c r="D895" s="6" t="s">
        <v>72</v>
      </c>
      <c r="E895" s="6">
        <v>3804029</v>
      </c>
      <c r="F895" s="6" t="s">
        <v>34</v>
      </c>
      <c r="G895" s="6" t="s">
        <v>43</v>
      </c>
      <c r="H895" s="6" t="s">
        <v>41</v>
      </c>
      <c r="I895" s="23">
        <v>8700</v>
      </c>
      <c r="J895" s="23">
        <v>11015.26</v>
      </c>
      <c r="K895" s="23">
        <v>575</v>
      </c>
      <c r="L895" s="23"/>
      <c r="M895" s="37">
        <f>59.06+2476.34-30</f>
        <v>2505.4</v>
      </c>
      <c r="N895" s="47">
        <v>0</v>
      </c>
      <c r="O895" s="23">
        <f>+Table24[[#This Row],[FoodcostBlueline]]+Table24[[#This Row],[Pepsico]]</f>
        <v>2505.4</v>
      </c>
      <c r="P895" s="24">
        <f t="shared" si="34"/>
        <v>0.28797701149425287</v>
      </c>
      <c r="Q895" s="24"/>
      <c r="R895" s="23">
        <f>1307.25+269.61</f>
        <v>1576.8600000000001</v>
      </c>
      <c r="S895" s="25">
        <f t="shared" si="35"/>
        <v>0.18124827586206899</v>
      </c>
      <c r="T895" s="24"/>
      <c r="U895" s="36">
        <f>Table24[[#This Row],[WagesPercent]]+Table24[[#This Row],[FoodCostPercent]]</f>
        <v>0.46922528735632185</v>
      </c>
      <c r="V895" s="36"/>
    </row>
    <row r="896" spans="1:22" x14ac:dyDescent="0.25">
      <c r="A896" s="20">
        <v>895</v>
      </c>
      <c r="B896" s="21" t="s">
        <v>124</v>
      </c>
      <c r="C896" s="21" t="s">
        <v>125</v>
      </c>
      <c r="D896" s="6" t="s">
        <v>72</v>
      </c>
      <c r="E896" s="6">
        <v>3804030</v>
      </c>
      <c r="F896" s="6" t="s">
        <v>35</v>
      </c>
      <c r="G896" s="6" t="s">
        <v>5</v>
      </c>
      <c r="H896" s="6" t="s">
        <v>40</v>
      </c>
      <c r="I896" s="23">
        <v>10004.620000000001</v>
      </c>
      <c r="J896" s="23">
        <v>8732.4500000000007</v>
      </c>
      <c r="K896" s="23">
        <v>568</v>
      </c>
      <c r="L896" s="23"/>
      <c r="M896" s="23">
        <f>2644.21-38</f>
        <v>2606.21</v>
      </c>
      <c r="N896" s="47">
        <v>0</v>
      </c>
      <c r="O896" s="23">
        <f>+Table24[[#This Row],[FoodcostBlueline]]+Table24[[#This Row],[Pepsico]]</f>
        <v>2606.21</v>
      </c>
      <c r="P896" s="24">
        <f t="shared" si="34"/>
        <v>0.26050064870030043</v>
      </c>
      <c r="Q896" s="24"/>
      <c r="R896" s="23">
        <v>2625.94</v>
      </c>
      <c r="S896" s="25">
        <f t="shared" si="35"/>
        <v>0.26247273759523099</v>
      </c>
      <c r="T896" s="24"/>
      <c r="U896" s="36">
        <f>Table24[[#This Row],[WagesPercent]]+Table24[[#This Row],[FoodCostPercent]]</f>
        <v>0.52297338629553147</v>
      </c>
      <c r="V896" s="36"/>
    </row>
    <row r="897" spans="1:22" x14ac:dyDescent="0.25">
      <c r="A897" s="20">
        <v>896</v>
      </c>
      <c r="B897" s="21" t="s">
        <v>124</v>
      </c>
      <c r="C897" s="21" t="s">
        <v>125</v>
      </c>
      <c r="D897" s="6" t="s">
        <v>72</v>
      </c>
      <c r="E897" s="6">
        <v>3804031</v>
      </c>
      <c r="F897" s="6" t="s">
        <v>36</v>
      </c>
      <c r="G897" s="6" t="s">
        <v>5</v>
      </c>
      <c r="H897" s="6" t="s">
        <v>40</v>
      </c>
      <c r="I897" s="23">
        <v>10399.86</v>
      </c>
      <c r="J897" s="23">
        <v>9710</v>
      </c>
      <c r="K897" s="23">
        <v>655</v>
      </c>
      <c r="L897" s="23"/>
      <c r="M897" s="23">
        <f>2759.75-44</f>
        <v>2715.75</v>
      </c>
      <c r="N897" s="47">
        <v>0</v>
      </c>
      <c r="O897" s="23">
        <f>+Table24[[#This Row],[FoodcostBlueline]]+Table24[[#This Row],[Pepsico]]</f>
        <v>2715.75</v>
      </c>
      <c r="P897" s="24">
        <f t="shared" si="34"/>
        <v>0.26113332294857816</v>
      </c>
      <c r="Q897" s="24"/>
      <c r="R897" s="23">
        <f>1837.84+875</f>
        <v>2712.84</v>
      </c>
      <c r="S897" s="25">
        <f t="shared" si="35"/>
        <v>0.26085351148957775</v>
      </c>
      <c r="T897" s="24"/>
      <c r="U897" s="36">
        <f>Table24[[#This Row],[WagesPercent]]+Table24[[#This Row],[FoodCostPercent]]</f>
        <v>0.52198683443815597</v>
      </c>
      <c r="V897" s="36"/>
    </row>
    <row r="898" spans="1:22" x14ac:dyDescent="0.25">
      <c r="A898" s="20">
        <v>897</v>
      </c>
      <c r="B898" s="21" t="s">
        <v>124</v>
      </c>
      <c r="C898" s="21" t="s">
        <v>125</v>
      </c>
      <c r="D898" s="6" t="s">
        <v>72</v>
      </c>
      <c r="E898" s="6">
        <v>3804032</v>
      </c>
      <c r="F898" s="6" t="s">
        <v>37</v>
      </c>
      <c r="G898" s="6" t="s">
        <v>5</v>
      </c>
      <c r="H898" s="6" t="s">
        <v>40</v>
      </c>
      <c r="I898" s="23">
        <v>10395.540000000001</v>
      </c>
      <c r="J898" s="23">
        <v>6079.53</v>
      </c>
      <c r="K898" s="23">
        <v>616</v>
      </c>
      <c r="L898" s="23"/>
      <c r="M898" s="23">
        <f>2926.64-54</f>
        <v>2872.64</v>
      </c>
      <c r="N898" s="47">
        <v>259.02</v>
      </c>
      <c r="O898" s="23">
        <f>+Table24[[#This Row],[FoodcostBlueline]]+Table24[[#This Row],[Pepsico]]</f>
        <v>3131.66</v>
      </c>
      <c r="P898" s="24">
        <f t="shared" ref="P898:P961" si="36">IFERROR(((M898+N898)/I898),0)</f>
        <v>0.30125034389747907</v>
      </c>
      <c r="Q898" s="24"/>
      <c r="R898" s="23">
        <f>1350+850+420</f>
        <v>2620</v>
      </c>
      <c r="S898" s="25">
        <f t="shared" ref="S898:S961" si="37">+R898/I898</f>
        <v>0.25203115951648491</v>
      </c>
      <c r="T898" s="24"/>
      <c r="U898" s="36">
        <f>Table24[[#This Row],[WagesPercent]]+Table24[[#This Row],[FoodCostPercent]]</f>
        <v>0.55328150341396398</v>
      </c>
      <c r="V898" s="36"/>
    </row>
    <row r="899" spans="1:22" x14ac:dyDescent="0.25">
      <c r="A899" s="20">
        <v>898</v>
      </c>
      <c r="B899" s="21" t="s">
        <v>124</v>
      </c>
      <c r="C899" s="21" t="s">
        <v>125</v>
      </c>
      <c r="D899" s="6" t="s">
        <v>72</v>
      </c>
      <c r="E899" s="6">
        <v>3804033</v>
      </c>
      <c r="F899" s="6" t="s">
        <v>38</v>
      </c>
      <c r="G899" s="6" t="s">
        <v>5</v>
      </c>
      <c r="H899" s="6" t="s">
        <v>40</v>
      </c>
      <c r="I899" s="23">
        <v>7139.08</v>
      </c>
      <c r="J899" s="23">
        <v>6452.53</v>
      </c>
      <c r="K899" s="23">
        <v>529</v>
      </c>
      <c r="L899" s="23"/>
      <c r="M899" s="23">
        <f>2769.6-22</f>
        <v>2747.6</v>
      </c>
      <c r="N899" s="47">
        <v>242.61</v>
      </c>
      <c r="O899" s="23">
        <f>+Table24[[#This Row],[FoodcostBlueline]]+Table24[[#This Row],[Pepsico]]</f>
        <v>2990.21</v>
      </c>
      <c r="P899" s="24">
        <f t="shared" si="36"/>
        <v>0.41885088834975936</v>
      </c>
      <c r="Q899" s="24"/>
      <c r="R899" s="23">
        <f>1234.8+650+165.58</f>
        <v>2050.38</v>
      </c>
      <c r="S899" s="25">
        <f t="shared" si="37"/>
        <v>0.28720507404315404</v>
      </c>
      <c r="T899" s="24"/>
      <c r="U899" s="36">
        <f>Table24[[#This Row],[WagesPercent]]+Table24[[#This Row],[FoodCostPercent]]</f>
        <v>0.70605596239291346</v>
      </c>
      <c r="V899" s="36"/>
    </row>
    <row r="900" spans="1:22" x14ac:dyDescent="0.25">
      <c r="A900" s="20">
        <v>899</v>
      </c>
      <c r="B900" s="21" t="s">
        <v>124</v>
      </c>
      <c r="C900" s="21" t="s">
        <v>125</v>
      </c>
      <c r="D900" s="6" t="s">
        <v>72</v>
      </c>
      <c r="E900" s="6">
        <v>3804034</v>
      </c>
      <c r="F900" s="6" t="s">
        <v>53</v>
      </c>
      <c r="G900" s="6" t="s">
        <v>79</v>
      </c>
      <c r="H900" s="6" t="s">
        <v>41</v>
      </c>
      <c r="I900" s="23">
        <v>7738.33</v>
      </c>
      <c r="J900" s="23">
        <v>10243.23</v>
      </c>
      <c r="K900" s="23">
        <v>474</v>
      </c>
      <c r="L900" s="23"/>
      <c r="M900" s="23">
        <f>2187.06-18.72-13</f>
        <v>2155.34</v>
      </c>
      <c r="N900" s="47">
        <v>179.58</v>
      </c>
      <c r="O900" s="23">
        <f>+Table24[[#This Row],[FoodcostBlueline]]+Table24[[#This Row],[Pepsico]]</f>
        <v>2334.92</v>
      </c>
      <c r="P900" s="24">
        <f t="shared" si="36"/>
        <v>0.30173435353622813</v>
      </c>
      <c r="Q900" s="24"/>
      <c r="R900" s="23">
        <v>2400</v>
      </c>
      <c r="S900" s="25">
        <f t="shared" si="37"/>
        <v>0.31014443684877746</v>
      </c>
      <c r="T900" s="24"/>
      <c r="U900" s="36">
        <f>Table24[[#This Row],[WagesPercent]]+Table24[[#This Row],[FoodCostPercent]]</f>
        <v>0.61187879038500559</v>
      </c>
      <c r="V900" s="36"/>
    </row>
    <row r="901" spans="1:22" x14ac:dyDescent="0.25">
      <c r="A901" s="20">
        <v>900</v>
      </c>
      <c r="B901" s="21" t="s">
        <v>126</v>
      </c>
      <c r="C901" s="21" t="s">
        <v>125</v>
      </c>
      <c r="D901" s="6" t="s">
        <v>73</v>
      </c>
      <c r="E901" s="6">
        <v>3804001</v>
      </c>
      <c r="F901" s="6" t="s">
        <v>4</v>
      </c>
      <c r="G901" s="6" t="s">
        <v>5</v>
      </c>
      <c r="H901" s="6" t="s">
        <v>40</v>
      </c>
      <c r="I901" s="23">
        <v>29686.43</v>
      </c>
      <c r="J901" s="23">
        <v>25404.69</v>
      </c>
      <c r="K901" s="23">
        <v>2000</v>
      </c>
      <c r="L901" s="23"/>
      <c r="M901" s="23">
        <v>7388.87</v>
      </c>
      <c r="N901" s="47">
        <v>1213.98</v>
      </c>
      <c r="O901" s="23">
        <f>+Table24[[#This Row],[FoodcostBlueline]]+Table24[[#This Row],[Pepsico]]</f>
        <v>8602.85</v>
      </c>
      <c r="P901" s="24">
        <f t="shared" si="36"/>
        <v>0.28979065519161451</v>
      </c>
      <c r="Q901" s="24"/>
      <c r="R901" s="23">
        <f>6214.94+165.58</f>
        <v>6380.5199999999995</v>
      </c>
      <c r="S901" s="25">
        <f t="shared" si="37"/>
        <v>0.21493052549599259</v>
      </c>
      <c r="T901" s="24"/>
      <c r="U901" s="36">
        <f>Table24[[#This Row],[WagesPercent]]+Table24[[#This Row],[FoodCostPercent]]</f>
        <v>0.50472118068760707</v>
      </c>
      <c r="V901" s="36"/>
    </row>
    <row r="902" spans="1:22" x14ac:dyDescent="0.25">
      <c r="A902" s="20">
        <v>901</v>
      </c>
      <c r="B902" s="21" t="s">
        <v>126</v>
      </c>
      <c r="C902" s="21" t="s">
        <v>125</v>
      </c>
      <c r="D902" s="6" t="s">
        <v>73</v>
      </c>
      <c r="E902" s="6">
        <v>3804002</v>
      </c>
      <c r="F902" s="6" t="s">
        <v>6</v>
      </c>
      <c r="G902" s="6" t="s">
        <v>7</v>
      </c>
      <c r="H902" s="6" t="s">
        <v>41</v>
      </c>
      <c r="I902" s="23">
        <v>12263.01</v>
      </c>
      <c r="J902" s="23">
        <v>14368.15</v>
      </c>
      <c r="K902" s="23">
        <v>961</v>
      </c>
      <c r="L902" s="23"/>
      <c r="M902" s="23">
        <v>3996.27</v>
      </c>
      <c r="N902" s="47">
        <v>0</v>
      </c>
      <c r="O902" s="23">
        <f>+Table24[[#This Row],[FoodcostBlueline]]+Table24[[#This Row],[Pepsico]]</f>
        <v>3996.27</v>
      </c>
      <c r="P902" s="24">
        <f t="shared" si="36"/>
        <v>0.32588002456166959</v>
      </c>
      <c r="Q902" s="24"/>
      <c r="R902" s="23">
        <v>3835.21</v>
      </c>
      <c r="S902" s="25">
        <f t="shared" si="37"/>
        <v>0.31274621809816677</v>
      </c>
      <c r="T902" s="24"/>
      <c r="U902" s="36">
        <f>Table24[[#This Row],[WagesPercent]]+Table24[[#This Row],[FoodCostPercent]]</f>
        <v>0.63862624265983636</v>
      </c>
      <c r="V902" s="36"/>
    </row>
    <row r="903" spans="1:22" x14ac:dyDescent="0.25">
      <c r="A903" s="20">
        <v>902</v>
      </c>
      <c r="B903" s="21" t="s">
        <v>126</v>
      </c>
      <c r="C903" s="21" t="s">
        <v>125</v>
      </c>
      <c r="D903" s="6" t="s">
        <v>73</v>
      </c>
      <c r="E903" s="6">
        <v>3804003</v>
      </c>
      <c r="F903" s="6" t="s">
        <v>8</v>
      </c>
      <c r="G903" s="6" t="s">
        <v>7</v>
      </c>
      <c r="H903" s="6" t="s">
        <v>41</v>
      </c>
      <c r="I903" s="23">
        <v>11645.68</v>
      </c>
      <c r="J903" s="23">
        <v>10819.77</v>
      </c>
      <c r="K903" s="23">
        <v>835</v>
      </c>
      <c r="L903" s="23"/>
      <c r="M903" s="37">
        <f>3736.28+226.4</f>
        <v>3962.6800000000003</v>
      </c>
      <c r="N903" s="47">
        <v>505.29</v>
      </c>
      <c r="O903" s="23">
        <f>+Table24[[#This Row],[FoodcostBlueline]]+Table24[[#This Row],[Pepsico]]</f>
        <v>4467.97</v>
      </c>
      <c r="P903" s="24">
        <f t="shared" si="36"/>
        <v>0.38365900488421456</v>
      </c>
      <c r="Q903" s="24"/>
      <c r="R903" s="23">
        <v>3614.65</v>
      </c>
      <c r="S903" s="25">
        <f t="shared" si="37"/>
        <v>0.31038548199847499</v>
      </c>
      <c r="T903" s="24"/>
      <c r="U903" s="36">
        <f>Table24[[#This Row],[WagesPercent]]+Table24[[#This Row],[FoodCostPercent]]</f>
        <v>0.6940444868826896</v>
      </c>
      <c r="V903" s="36"/>
    </row>
    <row r="904" spans="1:22" x14ac:dyDescent="0.25">
      <c r="A904" s="20">
        <v>903</v>
      </c>
      <c r="B904" s="21" t="s">
        <v>126</v>
      </c>
      <c r="C904" s="21" t="s">
        <v>125</v>
      </c>
      <c r="D904" s="6" t="s">
        <v>73</v>
      </c>
      <c r="E904" s="6">
        <v>3804004</v>
      </c>
      <c r="F904" s="6" t="s">
        <v>9</v>
      </c>
      <c r="G904" s="6" t="s">
        <v>7</v>
      </c>
      <c r="H904" s="6" t="s">
        <v>41</v>
      </c>
      <c r="I904" s="23">
        <v>17537.48</v>
      </c>
      <c r="J904" s="23">
        <v>16624.27</v>
      </c>
      <c r="K904" s="23">
        <v>1182</v>
      </c>
      <c r="L904" s="23"/>
      <c r="M904" s="23">
        <v>3733</v>
      </c>
      <c r="N904" s="47">
        <v>810.04</v>
      </c>
      <c r="O904" s="23">
        <f>+Table24[[#This Row],[FoodcostBlueline]]+Table24[[#This Row],[Pepsico]]</f>
        <v>4543.04</v>
      </c>
      <c r="P904" s="24">
        <f t="shared" si="36"/>
        <v>0.25904748002563655</v>
      </c>
      <c r="Q904" s="24"/>
      <c r="R904" s="23">
        <v>4040.53</v>
      </c>
      <c r="S904" s="25">
        <f t="shared" si="37"/>
        <v>0.23039399047069478</v>
      </c>
      <c r="T904" s="24"/>
      <c r="U904" s="36">
        <f>Table24[[#This Row],[WagesPercent]]+Table24[[#This Row],[FoodCostPercent]]</f>
        <v>0.48944147049633135</v>
      </c>
      <c r="V904" s="36"/>
    </row>
    <row r="905" spans="1:22" x14ac:dyDescent="0.25">
      <c r="A905" s="20">
        <v>904</v>
      </c>
      <c r="B905" s="21" t="s">
        <v>126</v>
      </c>
      <c r="C905" s="21" t="s">
        <v>125</v>
      </c>
      <c r="D905" s="6" t="s">
        <v>73</v>
      </c>
      <c r="E905" s="6">
        <v>3804005</v>
      </c>
      <c r="F905" s="6" t="s">
        <v>10</v>
      </c>
      <c r="G905" s="6" t="s">
        <v>7</v>
      </c>
      <c r="H905" s="6" t="s">
        <v>41</v>
      </c>
      <c r="I905" s="23">
        <v>12544.99</v>
      </c>
      <c r="J905" s="23">
        <v>16270.64</v>
      </c>
      <c r="K905" s="23">
        <v>865</v>
      </c>
      <c r="L905" s="23"/>
      <c r="M905" s="23">
        <v>3817.76</v>
      </c>
      <c r="N905" s="47">
        <v>356.89</v>
      </c>
      <c r="O905" s="23">
        <f>+Table24[[#This Row],[FoodcostBlueline]]+Table24[[#This Row],[Pepsico]]</f>
        <v>4174.6500000000005</v>
      </c>
      <c r="P905" s="24">
        <f t="shared" si="36"/>
        <v>0.33277427881568661</v>
      </c>
      <c r="Q905" s="24"/>
      <c r="R905" s="23">
        <v>2344.0300000000002</v>
      </c>
      <c r="S905" s="25">
        <f t="shared" si="37"/>
        <v>0.18684988987635703</v>
      </c>
      <c r="T905" s="24"/>
      <c r="U905" s="36">
        <f>Table24[[#This Row],[WagesPercent]]+Table24[[#This Row],[FoodCostPercent]]</f>
        <v>0.51962416869204364</v>
      </c>
      <c r="V905" s="36"/>
    </row>
    <row r="906" spans="1:22" x14ac:dyDescent="0.25">
      <c r="A906" s="20">
        <v>905</v>
      </c>
      <c r="B906" s="21" t="s">
        <v>126</v>
      </c>
      <c r="C906" s="21" t="s">
        <v>125</v>
      </c>
      <c r="D906" s="6" t="s">
        <v>73</v>
      </c>
      <c r="E906" s="6">
        <v>3804006</v>
      </c>
      <c r="F906" s="6" t="s">
        <v>11</v>
      </c>
      <c r="G906" s="6" t="s">
        <v>7</v>
      </c>
      <c r="H906" s="6" t="s">
        <v>41</v>
      </c>
      <c r="I906" s="23">
        <v>6439.8</v>
      </c>
      <c r="J906" s="23">
        <v>10648.41</v>
      </c>
      <c r="K906" s="23">
        <v>504</v>
      </c>
      <c r="L906" s="23"/>
      <c r="M906" s="23">
        <v>2386.9499999999998</v>
      </c>
      <c r="N906" s="47">
        <v>0</v>
      </c>
      <c r="O906" s="23">
        <f>+Table24[[#This Row],[FoodcostBlueline]]+Table24[[#This Row],[Pepsico]]</f>
        <v>2386.9499999999998</v>
      </c>
      <c r="P906" s="24">
        <f t="shared" si="36"/>
        <v>0.3706559209913351</v>
      </c>
      <c r="Q906" s="24"/>
      <c r="R906" s="23">
        <v>1676.47</v>
      </c>
      <c r="S906" s="25">
        <f t="shared" si="37"/>
        <v>0.26032951333892357</v>
      </c>
      <c r="T906" s="24"/>
      <c r="U906" s="36">
        <f>Table24[[#This Row],[WagesPercent]]+Table24[[#This Row],[FoodCostPercent]]</f>
        <v>0.63098543433025867</v>
      </c>
      <c r="V906" s="36"/>
    </row>
    <row r="907" spans="1:22" x14ac:dyDescent="0.25">
      <c r="A907" s="20">
        <v>906</v>
      </c>
      <c r="B907" s="21" t="s">
        <v>126</v>
      </c>
      <c r="C907" s="21" t="s">
        <v>125</v>
      </c>
      <c r="D907" s="6" t="s">
        <v>73</v>
      </c>
      <c r="E907" s="6">
        <v>3804008</v>
      </c>
      <c r="F907" s="6" t="s">
        <v>12</v>
      </c>
      <c r="G907" s="6" t="s">
        <v>127</v>
      </c>
      <c r="H907" s="6" t="s">
        <v>41</v>
      </c>
      <c r="I907" s="23">
        <v>22522.26</v>
      </c>
      <c r="J907" s="23">
        <v>23253.17</v>
      </c>
      <c r="K907" s="23">
        <v>1425</v>
      </c>
      <c r="L907" s="23"/>
      <c r="M907" s="23">
        <v>5410.9</v>
      </c>
      <c r="N907" s="47">
        <v>0</v>
      </c>
      <c r="O907" s="23">
        <f>+Table24[[#This Row],[FoodcostBlueline]]+Table24[[#This Row],[Pepsico]]</f>
        <v>5410.9</v>
      </c>
      <c r="P907" s="24">
        <f t="shared" si="36"/>
        <v>0.24024676031623823</v>
      </c>
      <c r="Q907" s="24"/>
      <c r="R907" s="23">
        <f>2100+300+709</f>
        <v>3109</v>
      </c>
      <c r="S907" s="25">
        <f t="shared" si="37"/>
        <v>0.13804120900833222</v>
      </c>
      <c r="T907" s="24"/>
      <c r="U907" s="36">
        <f>Table24[[#This Row],[WagesPercent]]+Table24[[#This Row],[FoodCostPercent]]</f>
        <v>0.37828796932457043</v>
      </c>
      <c r="V907" s="36"/>
    </row>
    <row r="908" spans="1:22" x14ac:dyDescent="0.25">
      <c r="A908" s="20">
        <v>907</v>
      </c>
      <c r="B908" s="21" t="s">
        <v>126</v>
      </c>
      <c r="C908" s="21" t="s">
        <v>125</v>
      </c>
      <c r="D908" s="6" t="s">
        <v>73</v>
      </c>
      <c r="E908" s="6">
        <v>3804009</v>
      </c>
      <c r="F908" s="6" t="s">
        <v>13</v>
      </c>
      <c r="G908" s="6" t="s">
        <v>127</v>
      </c>
      <c r="H908" s="6" t="s">
        <v>41</v>
      </c>
      <c r="I908" s="23">
        <v>17569.46</v>
      </c>
      <c r="J908" s="23">
        <v>15774.07</v>
      </c>
      <c r="K908" s="23">
        <v>1052</v>
      </c>
      <c r="L908" s="23"/>
      <c r="M908" s="23">
        <v>4129.26</v>
      </c>
      <c r="N908" s="47">
        <v>256.31</v>
      </c>
      <c r="O908" s="23">
        <f>+Table24[[#This Row],[FoodcostBlueline]]+Table24[[#This Row],[Pepsico]]</f>
        <v>4385.5700000000006</v>
      </c>
      <c r="P908" s="24">
        <f t="shared" si="36"/>
        <v>0.24961324935427731</v>
      </c>
      <c r="Q908" s="24"/>
      <c r="R908" s="23">
        <f>1605.4+500+1317</f>
        <v>3422.4</v>
      </c>
      <c r="S908" s="25">
        <f t="shared" si="37"/>
        <v>0.19479255480817284</v>
      </c>
      <c r="T908" s="24"/>
      <c r="U908" s="36">
        <f>Table24[[#This Row],[WagesPercent]]+Table24[[#This Row],[FoodCostPercent]]</f>
        <v>0.44440580416245012</v>
      </c>
      <c r="V908" s="36"/>
    </row>
    <row r="909" spans="1:22" x14ac:dyDescent="0.25">
      <c r="A909" s="20">
        <v>908</v>
      </c>
      <c r="B909" s="21" t="s">
        <v>126</v>
      </c>
      <c r="C909" s="21" t="s">
        <v>125</v>
      </c>
      <c r="D909" s="6" t="s">
        <v>73</v>
      </c>
      <c r="E909" s="6">
        <v>3804010</v>
      </c>
      <c r="F909" s="6" t="s">
        <v>14</v>
      </c>
      <c r="G909" s="6" t="s">
        <v>122</v>
      </c>
      <c r="H909" s="6" t="s">
        <v>41</v>
      </c>
      <c r="I909" s="23">
        <v>7379.66</v>
      </c>
      <c r="J909" s="23">
        <v>8312.23</v>
      </c>
      <c r="K909" s="23">
        <v>439</v>
      </c>
      <c r="L909" s="23"/>
      <c r="M909" s="23">
        <f>380.79+2162.32</f>
        <v>2543.11</v>
      </c>
      <c r="N909" s="47">
        <v>265.45</v>
      </c>
      <c r="O909" s="23">
        <f>+Table24[[#This Row],[FoodcostBlueline]]+Table24[[#This Row],[Pepsico]]</f>
        <v>2808.56</v>
      </c>
      <c r="P909" s="24">
        <f t="shared" si="36"/>
        <v>0.38058121918895993</v>
      </c>
      <c r="Q909" s="24"/>
      <c r="R909" s="23">
        <f>4076.97+250</f>
        <v>4326.9699999999993</v>
      </c>
      <c r="S909" s="25">
        <f t="shared" si="37"/>
        <v>0.58633731093302399</v>
      </c>
      <c r="T909" s="24"/>
      <c r="U909" s="36">
        <f>Table24[[#This Row],[WagesPercent]]+Table24[[#This Row],[FoodCostPercent]]</f>
        <v>0.96691853012198392</v>
      </c>
      <c r="V909" s="36"/>
    </row>
    <row r="910" spans="1:22" x14ac:dyDescent="0.25">
      <c r="A910" s="20">
        <v>909</v>
      </c>
      <c r="B910" s="21" t="s">
        <v>126</v>
      </c>
      <c r="C910" s="21" t="s">
        <v>125</v>
      </c>
      <c r="D910" s="6" t="s">
        <v>73</v>
      </c>
      <c r="E910" s="6">
        <v>3804011</v>
      </c>
      <c r="F910" s="6" t="s">
        <v>15</v>
      </c>
      <c r="G910" s="6" t="s">
        <v>122</v>
      </c>
      <c r="H910" s="6" t="s">
        <v>41</v>
      </c>
      <c r="I910" s="23">
        <v>28547.59</v>
      </c>
      <c r="J910" s="23">
        <v>26306.560000000001</v>
      </c>
      <c r="K910" s="23">
        <v>1859</v>
      </c>
      <c r="L910" s="23"/>
      <c r="M910" s="23">
        <v>7781.43</v>
      </c>
      <c r="N910" s="47">
        <v>484.1</v>
      </c>
      <c r="O910" s="23">
        <f>+Table24[[#This Row],[FoodcostBlueline]]+Table24[[#This Row],[Pepsico]]</f>
        <v>8265.5300000000007</v>
      </c>
      <c r="P910" s="24">
        <f t="shared" si="36"/>
        <v>0.28953512363040107</v>
      </c>
      <c r="Q910" s="24"/>
      <c r="R910" s="23">
        <f>2683.26+436.26</f>
        <v>3119.5200000000004</v>
      </c>
      <c r="S910" s="25">
        <f t="shared" si="37"/>
        <v>0.10927437307317361</v>
      </c>
      <c r="T910" s="24"/>
      <c r="U910" s="36">
        <f>Table24[[#This Row],[WagesPercent]]+Table24[[#This Row],[FoodCostPercent]]</f>
        <v>0.39880949670357468</v>
      </c>
      <c r="V910" s="36"/>
    </row>
    <row r="911" spans="1:22" x14ac:dyDescent="0.25">
      <c r="A911" s="20">
        <v>910</v>
      </c>
      <c r="B911" s="21" t="s">
        <v>126</v>
      </c>
      <c r="C911" s="21" t="s">
        <v>125</v>
      </c>
      <c r="D911" s="6" t="s">
        <v>73</v>
      </c>
      <c r="E911" s="6">
        <v>3804013</v>
      </c>
      <c r="F911" s="6" t="s">
        <v>17</v>
      </c>
      <c r="G911" s="6" t="s">
        <v>122</v>
      </c>
      <c r="H911" s="6" t="s">
        <v>41</v>
      </c>
      <c r="I911" s="23">
        <v>8658.64</v>
      </c>
      <c r="J911" s="23">
        <v>8588.85</v>
      </c>
      <c r="K911" s="23">
        <v>554</v>
      </c>
      <c r="L911" s="23"/>
      <c r="M911" s="23">
        <f>2983.47-305.52</f>
        <v>2677.95</v>
      </c>
      <c r="N911" s="47">
        <v>295.57</v>
      </c>
      <c r="O911" s="23">
        <f>+Table24[[#This Row],[FoodcostBlueline]]+Table24[[#This Row],[Pepsico]]</f>
        <v>2973.52</v>
      </c>
      <c r="P911" s="24">
        <f t="shared" si="36"/>
        <v>0.34341651806750256</v>
      </c>
      <c r="Q911" s="24"/>
      <c r="R911" s="23">
        <v>2867.83</v>
      </c>
      <c r="S911" s="25">
        <f t="shared" si="37"/>
        <v>0.33121021315125704</v>
      </c>
      <c r="T911" s="24"/>
      <c r="U911" s="36">
        <f>Table24[[#This Row],[WagesPercent]]+Table24[[#This Row],[FoodCostPercent]]</f>
        <v>0.6746267312187596</v>
      </c>
      <c r="V911" s="36"/>
    </row>
    <row r="912" spans="1:22" x14ac:dyDescent="0.25">
      <c r="A912" s="20">
        <v>911</v>
      </c>
      <c r="B912" s="21" t="s">
        <v>126</v>
      </c>
      <c r="C912" s="21" t="s">
        <v>125</v>
      </c>
      <c r="D912" s="6" t="s">
        <v>73</v>
      </c>
      <c r="E912" s="6">
        <v>3804014</v>
      </c>
      <c r="F912" s="6" t="s">
        <v>18</v>
      </c>
      <c r="G912" s="6" t="s">
        <v>122</v>
      </c>
      <c r="H912" s="6" t="s">
        <v>41</v>
      </c>
      <c r="I912" s="23">
        <v>7280.88</v>
      </c>
      <c r="J912" s="23">
        <v>10037.780000000001</v>
      </c>
      <c r="K912" s="23">
        <v>465</v>
      </c>
      <c r="L912" s="23"/>
      <c r="M912" s="23">
        <f>94.42+2411.07</f>
        <v>2505.4900000000002</v>
      </c>
      <c r="N912" s="47">
        <v>207.25</v>
      </c>
      <c r="O912" s="23">
        <f>+Table24[[#This Row],[FoodcostBlueline]]+Table24[[#This Row],[Pepsico]]</f>
        <v>2712.7400000000002</v>
      </c>
      <c r="P912" s="24">
        <f t="shared" si="36"/>
        <v>0.37258408324268499</v>
      </c>
      <c r="Q912" s="24"/>
      <c r="R912" s="23">
        <v>2910.77</v>
      </c>
      <c r="S912" s="25">
        <f t="shared" si="37"/>
        <v>0.39978271857248027</v>
      </c>
      <c r="T912" s="24"/>
      <c r="U912" s="36">
        <f>Table24[[#This Row],[WagesPercent]]+Table24[[#This Row],[FoodCostPercent]]</f>
        <v>0.77236680181516526</v>
      </c>
      <c r="V912" s="36"/>
    </row>
    <row r="913" spans="1:22" x14ac:dyDescent="0.25">
      <c r="A913" s="20">
        <v>912</v>
      </c>
      <c r="B913" s="21" t="s">
        <v>126</v>
      </c>
      <c r="C913" s="21" t="s">
        <v>125</v>
      </c>
      <c r="D913" s="6" t="s">
        <v>73</v>
      </c>
      <c r="E913" s="6">
        <v>3804015</v>
      </c>
      <c r="F913" s="6" t="s">
        <v>19</v>
      </c>
      <c r="G913" s="6" t="s">
        <v>20</v>
      </c>
      <c r="H913" s="6" t="s">
        <v>41</v>
      </c>
      <c r="I913" s="23">
        <v>14636.8</v>
      </c>
      <c r="J913" s="23">
        <v>15716</v>
      </c>
      <c r="K913" s="23">
        <v>915</v>
      </c>
      <c r="L913" s="23"/>
      <c r="M913" s="23">
        <v>5279.18</v>
      </c>
      <c r="N913" s="47">
        <v>355.38</v>
      </c>
      <c r="O913" s="23">
        <f>+Table24[[#This Row],[FoodcostBlueline]]+Table24[[#This Row],[Pepsico]]</f>
        <v>5634.56</v>
      </c>
      <c r="P913" s="24">
        <f t="shared" si="36"/>
        <v>0.38495846086576307</v>
      </c>
      <c r="Q913" s="24"/>
      <c r="R913" s="23">
        <v>3688.7</v>
      </c>
      <c r="S913" s="25">
        <f t="shared" si="37"/>
        <v>0.25201546786182771</v>
      </c>
      <c r="T913" s="24"/>
      <c r="U913" s="36">
        <f>Table24[[#This Row],[WagesPercent]]+Table24[[#This Row],[FoodCostPercent]]</f>
        <v>0.63697392872759084</v>
      </c>
      <c r="V913" s="36"/>
    </row>
    <row r="914" spans="1:22" x14ac:dyDescent="0.25">
      <c r="A914" s="20">
        <v>913</v>
      </c>
      <c r="B914" s="21" t="s">
        <v>126</v>
      </c>
      <c r="C914" s="21" t="s">
        <v>125</v>
      </c>
      <c r="D914" s="6" t="s">
        <v>73</v>
      </c>
      <c r="E914" s="6">
        <v>3804016</v>
      </c>
      <c r="F914" s="6" t="s">
        <v>21</v>
      </c>
      <c r="G914" s="6" t="s">
        <v>120</v>
      </c>
      <c r="H914" s="6" t="s">
        <v>40</v>
      </c>
      <c r="I914" s="23">
        <v>13165.9</v>
      </c>
      <c r="J914" s="23">
        <v>13921</v>
      </c>
      <c r="K914" s="23">
        <v>815</v>
      </c>
      <c r="L914" s="23"/>
      <c r="M914" s="23">
        <v>4012.19</v>
      </c>
      <c r="N914" s="47">
        <v>573.91999999999996</v>
      </c>
      <c r="O914" s="23">
        <f>+Table24[[#This Row],[FoodcostBlueline]]+Table24[[#This Row],[Pepsico]]</f>
        <v>4586.1099999999997</v>
      </c>
      <c r="P914" s="24">
        <f t="shared" si="36"/>
        <v>0.34833243454682172</v>
      </c>
      <c r="Q914" s="24"/>
      <c r="R914" s="23">
        <v>3022.1</v>
      </c>
      <c r="S914" s="25">
        <f t="shared" si="37"/>
        <v>0.22953994789570026</v>
      </c>
      <c r="T914" s="24"/>
      <c r="U914" s="36">
        <f>Table24[[#This Row],[WagesPercent]]+Table24[[#This Row],[FoodCostPercent]]</f>
        <v>0.57787238244252204</v>
      </c>
      <c r="V914" s="36"/>
    </row>
    <row r="915" spans="1:22" x14ac:dyDescent="0.25">
      <c r="A915" s="20">
        <v>914</v>
      </c>
      <c r="B915" s="21" t="s">
        <v>126</v>
      </c>
      <c r="C915" s="21" t="s">
        <v>125</v>
      </c>
      <c r="D915" s="6" t="s">
        <v>73</v>
      </c>
      <c r="E915" s="6">
        <v>3804017</v>
      </c>
      <c r="F915" s="6" t="s">
        <v>23</v>
      </c>
      <c r="G915" s="6" t="s">
        <v>120</v>
      </c>
      <c r="H915" s="6" t="s">
        <v>40</v>
      </c>
      <c r="I915" s="23">
        <v>19177.759999999998</v>
      </c>
      <c r="J915" s="23">
        <v>18654.29</v>
      </c>
      <c r="K915" s="23">
        <v>1230</v>
      </c>
      <c r="L915" s="23"/>
      <c r="M915" s="23">
        <f>4648.63-34.34</f>
        <v>4614.29</v>
      </c>
      <c r="N915" s="47">
        <v>784.79</v>
      </c>
      <c r="O915" s="23">
        <f>+Table24[[#This Row],[FoodcostBlueline]]+Table24[[#This Row],[Pepsico]]</f>
        <v>5399.08</v>
      </c>
      <c r="P915" s="24">
        <f t="shared" si="36"/>
        <v>0.28152818681639569</v>
      </c>
      <c r="Q915" s="24"/>
      <c r="R915" s="23">
        <v>3775.55</v>
      </c>
      <c r="S915" s="25">
        <f t="shared" si="37"/>
        <v>0.19687127172307925</v>
      </c>
      <c r="T915" s="24"/>
      <c r="U915" s="36">
        <f>Table24[[#This Row],[WagesPercent]]+Table24[[#This Row],[FoodCostPercent]]</f>
        <v>0.47839945853947496</v>
      </c>
      <c r="V915" s="36"/>
    </row>
    <row r="916" spans="1:22" x14ac:dyDescent="0.25">
      <c r="A916" s="20">
        <v>915</v>
      </c>
      <c r="B916" s="21" t="s">
        <v>126</v>
      </c>
      <c r="C916" s="21" t="s">
        <v>125</v>
      </c>
      <c r="D916" s="6" t="s">
        <v>73</v>
      </c>
      <c r="E916" s="6">
        <v>3804018</v>
      </c>
      <c r="F916" s="6" t="s">
        <v>24</v>
      </c>
      <c r="G916" s="6" t="s">
        <v>20</v>
      </c>
      <c r="H916" s="6" t="s">
        <v>41</v>
      </c>
      <c r="I916" s="23">
        <v>21226.17</v>
      </c>
      <c r="J916" s="23">
        <v>20289.599999999999</v>
      </c>
      <c r="K916" s="23">
        <v>1263</v>
      </c>
      <c r="L916" s="23"/>
      <c r="M916" s="23">
        <v>8931.64</v>
      </c>
      <c r="N916" s="47">
        <v>444.1</v>
      </c>
      <c r="O916" s="23">
        <f>+Table24[[#This Row],[FoodcostBlueline]]+Table24[[#This Row],[Pepsico]]</f>
        <v>9375.74</v>
      </c>
      <c r="P916" s="24">
        <f t="shared" si="36"/>
        <v>0.44170662912809994</v>
      </c>
      <c r="Q916" s="24"/>
      <c r="R916" s="23">
        <v>4829.5200000000004</v>
      </c>
      <c r="S916" s="25">
        <f t="shared" si="37"/>
        <v>0.22752668050807098</v>
      </c>
      <c r="T916" s="24"/>
      <c r="U916" s="36">
        <f>Table24[[#This Row],[WagesPercent]]+Table24[[#This Row],[FoodCostPercent]]</f>
        <v>0.66923330963617089</v>
      </c>
      <c r="V916" s="36"/>
    </row>
    <row r="917" spans="1:22" x14ac:dyDescent="0.25">
      <c r="A917" s="20">
        <v>916</v>
      </c>
      <c r="B917" s="21" t="s">
        <v>126</v>
      </c>
      <c r="C917" s="21" t="s">
        <v>125</v>
      </c>
      <c r="D917" s="6" t="s">
        <v>73</v>
      </c>
      <c r="E917" s="6">
        <v>3804019</v>
      </c>
      <c r="F917" s="6" t="s">
        <v>25</v>
      </c>
      <c r="G917" s="6" t="s">
        <v>20</v>
      </c>
      <c r="H917" s="6" t="s">
        <v>41</v>
      </c>
      <c r="I917" s="23">
        <v>13285.63</v>
      </c>
      <c r="J917" s="23">
        <v>13423.82</v>
      </c>
      <c r="K917" s="23">
        <v>820</v>
      </c>
      <c r="L917" s="23"/>
      <c r="M917" s="23">
        <v>4560.0600000000004</v>
      </c>
      <c r="N917" s="47">
        <v>329.67</v>
      </c>
      <c r="O917" s="23">
        <f>+Table24[[#This Row],[FoodcostBlueline]]+Table24[[#This Row],[Pepsico]]</f>
        <v>4889.7300000000005</v>
      </c>
      <c r="P917" s="24">
        <f t="shared" si="36"/>
        <v>0.36804652846722369</v>
      </c>
      <c r="Q917" s="24"/>
      <c r="R917" s="23">
        <v>3297.63</v>
      </c>
      <c r="S917" s="25">
        <f t="shared" si="37"/>
        <v>0.24821028434481468</v>
      </c>
      <c r="T917" s="24"/>
      <c r="U917" s="36">
        <f>Table24[[#This Row],[WagesPercent]]+Table24[[#This Row],[FoodCostPercent]]</f>
        <v>0.61625681281203837</v>
      </c>
      <c r="V917" s="36"/>
    </row>
    <row r="918" spans="1:22" x14ac:dyDescent="0.25">
      <c r="A918" s="20">
        <v>917</v>
      </c>
      <c r="B918" s="21" t="s">
        <v>126</v>
      </c>
      <c r="C918" s="21" t="s">
        <v>125</v>
      </c>
      <c r="D918" s="6" t="s">
        <v>73</v>
      </c>
      <c r="E918" s="6">
        <v>3804020</v>
      </c>
      <c r="F918" s="6" t="s">
        <v>26</v>
      </c>
      <c r="G918" s="6" t="s">
        <v>120</v>
      </c>
      <c r="H918" s="6" t="s">
        <v>40</v>
      </c>
      <c r="I918" s="23">
        <v>13400.38</v>
      </c>
      <c r="J918" s="23">
        <v>12007.33</v>
      </c>
      <c r="K918" s="23">
        <v>816</v>
      </c>
      <c r="L918" s="23"/>
      <c r="M918" s="23">
        <v>3876.26</v>
      </c>
      <c r="N918" s="47">
        <v>171.14</v>
      </c>
      <c r="O918" s="23">
        <f>+Table24[[#This Row],[FoodcostBlueline]]+Table24[[#This Row],[Pepsico]]</f>
        <v>4047.4</v>
      </c>
      <c r="P918" s="24">
        <f t="shared" si="36"/>
        <v>0.30203621091342187</v>
      </c>
      <c r="Q918" s="24"/>
      <c r="R918" s="23">
        <v>2787.65</v>
      </c>
      <c r="S918" s="25">
        <f t="shared" si="37"/>
        <v>0.20802768279705502</v>
      </c>
      <c r="T918" s="24"/>
      <c r="U918" s="36">
        <f>Table24[[#This Row],[WagesPercent]]+Table24[[#This Row],[FoodCostPercent]]</f>
        <v>0.51006389371047689</v>
      </c>
      <c r="V918" s="36"/>
    </row>
    <row r="919" spans="1:22" x14ac:dyDescent="0.25">
      <c r="A919" s="20">
        <v>918</v>
      </c>
      <c r="B919" s="21" t="s">
        <v>126</v>
      </c>
      <c r="C919" s="21" t="s">
        <v>125</v>
      </c>
      <c r="D919" s="6" t="s">
        <v>73</v>
      </c>
      <c r="E919" s="6">
        <v>3804021</v>
      </c>
      <c r="F919" s="6" t="s">
        <v>27</v>
      </c>
      <c r="G919" s="6" t="s">
        <v>120</v>
      </c>
      <c r="H919" s="6" t="s">
        <v>40</v>
      </c>
      <c r="I919" s="23">
        <v>13159.81</v>
      </c>
      <c r="J919" s="23">
        <v>23863.41</v>
      </c>
      <c r="K919" s="23">
        <v>826</v>
      </c>
      <c r="L919" s="23"/>
      <c r="M919" s="23">
        <v>5629.37</v>
      </c>
      <c r="N919" s="47">
        <v>669.33</v>
      </c>
      <c r="O919" s="23">
        <f>+Table24[[#This Row],[FoodcostBlueline]]+Table24[[#This Row],[Pepsico]]</f>
        <v>6298.7</v>
      </c>
      <c r="P919" s="24">
        <f t="shared" si="36"/>
        <v>0.47863153039443579</v>
      </c>
      <c r="Q919" s="24"/>
      <c r="R919" s="23">
        <v>3982.57</v>
      </c>
      <c r="S919" s="25">
        <f t="shared" si="37"/>
        <v>0.30263126899248549</v>
      </c>
      <c r="T919" s="24"/>
      <c r="U919" s="36">
        <f>Table24[[#This Row],[WagesPercent]]+Table24[[#This Row],[FoodCostPercent]]</f>
        <v>0.78126279938692123</v>
      </c>
      <c r="V919" s="36"/>
    </row>
    <row r="920" spans="1:22" x14ac:dyDescent="0.25">
      <c r="A920" s="20">
        <v>919</v>
      </c>
      <c r="B920" s="21" t="s">
        <v>126</v>
      </c>
      <c r="C920" s="21" t="s">
        <v>125</v>
      </c>
      <c r="D920" s="6" t="s">
        <v>73</v>
      </c>
      <c r="E920" s="6">
        <v>3804022</v>
      </c>
      <c r="F920" s="6" t="s">
        <v>28</v>
      </c>
      <c r="G920" s="6" t="s">
        <v>120</v>
      </c>
      <c r="H920" s="6" t="s">
        <v>40</v>
      </c>
      <c r="I920" s="23">
        <v>13955.56</v>
      </c>
      <c r="J920" s="23">
        <v>15484.69</v>
      </c>
      <c r="K920" s="23">
        <v>814</v>
      </c>
      <c r="L920" s="23"/>
      <c r="M920" s="23">
        <v>3822.23</v>
      </c>
      <c r="N920" s="47">
        <v>405.62</v>
      </c>
      <c r="O920" s="23">
        <f>+Table24[[#This Row],[FoodcostBlueline]]+Table24[[#This Row],[Pepsico]]</f>
        <v>4227.8500000000004</v>
      </c>
      <c r="P920" s="24">
        <f t="shared" si="36"/>
        <v>0.30295093855065652</v>
      </c>
      <c r="Q920" s="24"/>
      <c r="R920" s="23">
        <v>3045.83</v>
      </c>
      <c r="S920" s="25">
        <f t="shared" si="37"/>
        <v>0.21825208017449677</v>
      </c>
      <c r="T920" s="24"/>
      <c r="U920" s="36">
        <f>Table24[[#This Row],[WagesPercent]]+Table24[[#This Row],[FoodCostPercent]]</f>
        <v>0.52120301872515329</v>
      </c>
      <c r="V920" s="36"/>
    </row>
    <row r="921" spans="1:22" x14ac:dyDescent="0.25">
      <c r="A921" s="20">
        <v>920</v>
      </c>
      <c r="B921" s="21" t="s">
        <v>126</v>
      </c>
      <c r="C921" s="21" t="s">
        <v>125</v>
      </c>
      <c r="D921" s="6" t="s">
        <v>73</v>
      </c>
      <c r="E921" s="6">
        <v>3804023</v>
      </c>
      <c r="F921" s="6" t="s">
        <v>29</v>
      </c>
      <c r="G921" s="6" t="s">
        <v>120</v>
      </c>
      <c r="H921" s="6" t="s">
        <v>40</v>
      </c>
      <c r="I921" s="23">
        <v>13237.27</v>
      </c>
      <c r="J921" s="23">
        <v>15802.72</v>
      </c>
      <c r="K921" s="23">
        <v>818</v>
      </c>
      <c r="L921" s="23"/>
      <c r="M921" s="23">
        <f>4254.54-24.7</f>
        <v>4229.84</v>
      </c>
      <c r="N921" s="47">
        <v>505.82</v>
      </c>
      <c r="O921" s="23">
        <f>+Table24[[#This Row],[FoodcostBlueline]]+Table24[[#This Row],[Pepsico]]</f>
        <v>4735.66</v>
      </c>
      <c r="P921" s="24">
        <f t="shared" si="36"/>
        <v>0.35775201382158101</v>
      </c>
      <c r="Q921" s="24"/>
      <c r="R921" s="23">
        <v>3666.98</v>
      </c>
      <c r="S921" s="25">
        <f t="shared" si="37"/>
        <v>0.27701935519937265</v>
      </c>
      <c r="T921" s="24"/>
      <c r="U921" s="36">
        <f>Table24[[#This Row],[WagesPercent]]+Table24[[#This Row],[FoodCostPercent]]</f>
        <v>0.63477136902095366</v>
      </c>
      <c r="V921" s="36"/>
    </row>
    <row r="922" spans="1:22" x14ac:dyDescent="0.25">
      <c r="A922" s="20">
        <v>921</v>
      </c>
      <c r="B922" s="21" t="s">
        <v>126</v>
      </c>
      <c r="C922" s="21" t="s">
        <v>125</v>
      </c>
      <c r="D922" s="6" t="s">
        <v>73</v>
      </c>
      <c r="E922" s="6">
        <v>3804024</v>
      </c>
      <c r="F922" s="6" t="s">
        <v>30</v>
      </c>
      <c r="G922" s="6" t="s">
        <v>20</v>
      </c>
      <c r="H922" s="6" t="s">
        <v>41</v>
      </c>
      <c r="I922" s="23">
        <v>10372.48</v>
      </c>
      <c r="J922" s="23">
        <v>13421.68</v>
      </c>
      <c r="K922" s="23">
        <v>658</v>
      </c>
      <c r="L922" s="23"/>
      <c r="M922" s="23">
        <v>3114.94</v>
      </c>
      <c r="N922" s="47">
        <v>284.27</v>
      </c>
      <c r="O922" s="23">
        <f>+Table24[[#This Row],[FoodcostBlueline]]+Table24[[#This Row],[Pepsico]]</f>
        <v>3399.21</v>
      </c>
      <c r="P922" s="24">
        <f t="shared" si="36"/>
        <v>0.32771429783426914</v>
      </c>
      <c r="Q922" s="24"/>
      <c r="R922" s="23">
        <f>2894.56+69.23</f>
        <v>2963.79</v>
      </c>
      <c r="S922" s="25">
        <f t="shared" si="37"/>
        <v>0.28573590886653916</v>
      </c>
      <c r="T922" s="24"/>
      <c r="U922" s="36">
        <f>Table24[[#This Row],[WagesPercent]]+Table24[[#This Row],[FoodCostPercent]]</f>
        <v>0.6134502067008083</v>
      </c>
      <c r="V922" s="36"/>
    </row>
    <row r="923" spans="1:22" x14ac:dyDescent="0.25">
      <c r="A923" s="20">
        <v>922</v>
      </c>
      <c r="B923" s="21" t="s">
        <v>126</v>
      </c>
      <c r="C923" s="21" t="s">
        <v>125</v>
      </c>
      <c r="D923" s="6" t="s">
        <v>73</v>
      </c>
      <c r="E923" s="6">
        <v>3804025</v>
      </c>
      <c r="F923" s="6" t="s">
        <v>31</v>
      </c>
      <c r="G923" s="6" t="s">
        <v>20</v>
      </c>
      <c r="H923" s="6" t="s">
        <v>41</v>
      </c>
      <c r="I923" s="23">
        <v>28257.26</v>
      </c>
      <c r="J923" s="23">
        <v>26806.560000000001</v>
      </c>
      <c r="K923" s="23">
        <v>1789</v>
      </c>
      <c r="L923" s="23"/>
      <c r="M923" s="23">
        <v>8198.4699999999993</v>
      </c>
      <c r="N923" s="47">
        <v>593</v>
      </c>
      <c r="O923" s="23">
        <f>+Table24[[#This Row],[FoodcostBlueline]]+Table24[[#This Row],[Pepsico]]</f>
        <v>8791.4699999999993</v>
      </c>
      <c r="P923" s="24">
        <f t="shared" si="36"/>
        <v>0.31112252214121255</v>
      </c>
      <c r="Q923" s="24"/>
      <c r="R923" s="23">
        <v>5905.7</v>
      </c>
      <c r="S923" s="25">
        <f t="shared" si="37"/>
        <v>0.20899761689562257</v>
      </c>
      <c r="T923" s="24"/>
      <c r="U923" s="36">
        <f>Table24[[#This Row],[WagesPercent]]+Table24[[#This Row],[FoodCostPercent]]</f>
        <v>0.52012013903683507</v>
      </c>
      <c r="V923" s="36"/>
    </row>
    <row r="924" spans="1:22" x14ac:dyDescent="0.25">
      <c r="A924" s="20">
        <v>923</v>
      </c>
      <c r="B924" s="21" t="s">
        <v>126</v>
      </c>
      <c r="C924" s="21" t="s">
        <v>125</v>
      </c>
      <c r="D924" s="6" t="s">
        <v>73</v>
      </c>
      <c r="E924" s="6">
        <v>3804026</v>
      </c>
      <c r="F924" s="6" t="s">
        <v>32</v>
      </c>
      <c r="G924" s="6" t="s">
        <v>79</v>
      </c>
      <c r="H924" s="6" t="s">
        <v>41</v>
      </c>
      <c r="I924" s="23">
        <v>12833.18</v>
      </c>
      <c r="J924" s="23">
        <v>11897.29</v>
      </c>
      <c r="K924" s="23">
        <v>795</v>
      </c>
      <c r="L924" s="23"/>
      <c r="M924" s="23">
        <v>3755.34</v>
      </c>
      <c r="N924" s="47">
        <v>379.88</v>
      </c>
      <c r="O924" s="23">
        <f>+Table24[[#This Row],[FoodcostBlueline]]+Table24[[#This Row],[Pepsico]]</f>
        <v>4135.22</v>
      </c>
      <c r="P924" s="24">
        <f t="shared" si="36"/>
        <v>0.32222878507119829</v>
      </c>
      <c r="Q924" s="24"/>
      <c r="R924" s="23">
        <v>3575.85</v>
      </c>
      <c r="S924" s="25">
        <f t="shared" si="37"/>
        <v>0.27864099155470429</v>
      </c>
      <c r="T924" s="24"/>
      <c r="U924" s="36">
        <f>Table24[[#This Row],[WagesPercent]]+Table24[[#This Row],[FoodCostPercent]]</f>
        <v>0.60086977662590257</v>
      </c>
      <c r="V924" s="36"/>
    </row>
    <row r="925" spans="1:22" x14ac:dyDescent="0.25">
      <c r="A925" s="20">
        <v>924</v>
      </c>
      <c r="B925" s="21" t="s">
        <v>126</v>
      </c>
      <c r="C925" s="21" t="s">
        <v>125</v>
      </c>
      <c r="D925" s="6" t="s">
        <v>73</v>
      </c>
      <c r="E925" s="6">
        <v>3804027</v>
      </c>
      <c r="F925" s="6" t="s">
        <v>33</v>
      </c>
      <c r="G925" s="6" t="s">
        <v>43</v>
      </c>
      <c r="H925" s="6" t="s">
        <v>41</v>
      </c>
      <c r="I925" s="23">
        <v>16570.77</v>
      </c>
      <c r="J925" s="23">
        <v>16348.73</v>
      </c>
      <c r="K925" s="23">
        <v>1245</v>
      </c>
      <c r="L925" s="23"/>
      <c r="M925" s="23">
        <v>4674.1000000000004</v>
      </c>
      <c r="N925" s="47">
        <v>172.12</v>
      </c>
      <c r="O925" s="23">
        <f>+Table24[[#This Row],[FoodcostBlueline]]+Table24[[#This Row],[Pepsico]]</f>
        <v>4846.22</v>
      </c>
      <c r="P925" s="24">
        <f t="shared" si="36"/>
        <v>0.2924559329469904</v>
      </c>
      <c r="Q925" s="24"/>
      <c r="R925" s="23">
        <f>1735.7+377+2453</f>
        <v>4565.7</v>
      </c>
      <c r="S925" s="25">
        <f t="shared" si="37"/>
        <v>0.27552732914644279</v>
      </c>
      <c r="T925" s="24"/>
      <c r="U925" s="36">
        <f>Table24[[#This Row],[WagesPercent]]+Table24[[#This Row],[FoodCostPercent]]</f>
        <v>0.56798326209343319</v>
      </c>
      <c r="V925" s="36"/>
    </row>
    <row r="926" spans="1:22" x14ac:dyDescent="0.25">
      <c r="A926" s="20">
        <v>925</v>
      </c>
      <c r="B926" s="21" t="s">
        <v>126</v>
      </c>
      <c r="C926" s="21" t="s">
        <v>125</v>
      </c>
      <c r="D926" s="6" t="s">
        <v>73</v>
      </c>
      <c r="E926" s="6">
        <v>3804029</v>
      </c>
      <c r="F926" s="6" t="s">
        <v>34</v>
      </c>
      <c r="G926" s="6" t="s">
        <v>43</v>
      </c>
      <c r="H926" s="6" t="s">
        <v>41</v>
      </c>
      <c r="I926" s="23">
        <v>9420.6299999999992</v>
      </c>
      <c r="J926" s="23">
        <v>10917.67</v>
      </c>
      <c r="K926" s="23">
        <v>601</v>
      </c>
      <c r="L926" s="23"/>
      <c r="M926" s="23">
        <v>3352.2</v>
      </c>
      <c r="N926" s="47">
        <v>0</v>
      </c>
      <c r="O926" s="23">
        <f>+Table24[[#This Row],[FoodcostBlueline]]+Table24[[#This Row],[Pepsico]]</f>
        <v>3352.2</v>
      </c>
      <c r="P926" s="24">
        <f t="shared" si="36"/>
        <v>0.35583607465742739</v>
      </c>
      <c r="Q926" s="24"/>
      <c r="R926" s="23">
        <f>1649.4+185</f>
        <v>1834.4</v>
      </c>
      <c r="S926" s="25">
        <f t="shared" si="37"/>
        <v>0.19472158443755888</v>
      </c>
      <c r="T926" s="24"/>
      <c r="U926" s="36">
        <f>Table24[[#This Row],[WagesPercent]]+Table24[[#This Row],[FoodCostPercent]]</f>
        <v>0.55055765909498633</v>
      </c>
      <c r="V926" s="36"/>
    </row>
    <row r="927" spans="1:22" x14ac:dyDescent="0.25">
      <c r="A927" s="20">
        <v>926</v>
      </c>
      <c r="B927" s="21" t="s">
        <v>126</v>
      </c>
      <c r="C927" s="21" t="s">
        <v>125</v>
      </c>
      <c r="D927" s="6" t="s">
        <v>73</v>
      </c>
      <c r="E927" s="6">
        <v>3804030</v>
      </c>
      <c r="F927" s="6" t="s">
        <v>35</v>
      </c>
      <c r="G927" s="6" t="s">
        <v>5</v>
      </c>
      <c r="H927" s="6" t="s">
        <v>40</v>
      </c>
      <c r="I927" s="23">
        <v>9764.1299999999992</v>
      </c>
      <c r="J927" s="23">
        <v>9154.31</v>
      </c>
      <c r="K927" s="23">
        <v>631</v>
      </c>
      <c r="L927" s="23"/>
      <c r="M927" s="23">
        <v>2792.14</v>
      </c>
      <c r="N927" s="47">
        <v>242.56</v>
      </c>
      <c r="O927" s="23">
        <f>+Table24[[#This Row],[FoodcostBlueline]]+Table24[[#This Row],[Pepsico]]</f>
        <v>3034.7</v>
      </c>
      <c r="P927" s="24">
        <f t="shared" si="36"/>
        <v>0.31080085988203765</v>
      </c>
      <c r="Q927" s="24"/>
      <c r="R927" s="23">
        <v>2396.98</v>
      </c>
      <c r="S927" s="25">
        <f t="shared" si="37"/>
        <v>0.24548833331797101</v>
      </c>
      <c r="T927" s="24"/>
      <c r="U927" s="36">
        <f>Table24[[#This Row],[WagesPercent]]+Table24[[#This Row],[FoodCostPercent]]</f>
        <v>0.55628919320000869</v>
      </c>
      <c r="V927" s="36"/>
    </row>
    <row r="928" spans="1:22" x14ac:dyDescent="0.25">
      <c r="A928" s="20">
        <v>927</v>
      </c>
      <c r="B928" s="21" t="s">
        <v>126</v>
      </c>
      <c r="C928" s="21" t="s">
        <v>125</v>
      </c>
      <c r="D928" s="6" t="s">
        <v>73</v>
      </c>
      <c r="E928" s="6">
        <v>3804031</v>
      </c>
      <c r="F928" s="6" t="s">
        <v>36</v>
      </c>
      <c r="G928" s="6" t="s">
        <v>5</v>
      </c>
      <c r="H928" s="6" t="s">
        <v>40</v>
      </c>
      <c r="I928" s="23">
        <v>10845.12</v>
      </c>
      <c r="J928" s="23">
        <v>9511.36</v>
      </c>
      <c r="K928" s="23">
        <v>739</v>
      </c>
      <c r="L928" s="23"/>
      <c r="M928" s="37">
        <v>2994.46</v>
      </c>
      <c r="N928" s="47">
        <v>216.13</v>
      </c>
      <c r="O928" s="23">
        <f>+Table24[[#This Row],[FoodcostBlueline]]+Table24[[#This Row],[Pepsico]]</f>
        <v>3210.59</v>
      </c>
      <c r="P928" s="24">
        <f t="shared" si="36"/>
        <v>0.29604006225841667</v>
      </c>
      <c r="Q928" s="24"/>
      <c r="R928" s="23">
        <f>2135.22+875</f>
        <v>3010.22</v>
      </c>
      <c r="S928" s="25">
        <f t="shared" si="37"/>
        <v>0.27756447139358525</v>
      </c>
      <c r="T928" s="24"/>
      <c r="U928" s="36">
        <f>Table24[[#This Row],[WagesPercent]]+Table24[[#This Row],[FoodCostPercent]]</f>
        <v>0.57360453365200192</v>
      </c>
      <c r="V928" s="36"/>
    </row>
    <row r="929" spans="1:22" x14ac:dyDescent="0.25">
      <c r="A929" s="20">
        <v>928</v>
      </c>
      <c r="B929" s="21" t="s">
        <v>126</v>
      </c>
      <c r="C929" s="21" t="s">
        <v>125</v>
      </c>
      <c r="D929" s="6" t="s">
        <v>73</v>
      </c>
      <c r="E929" s="6">
        <v>3804032</v>
      </c>
      <c r="F929" s="6" t="s">
        <v>37</v>
      </c>
      <c r="G929" s="6" t="s">
        <v>5</v>
      </c>
      <c r="H929" s="6" t="s">
        <v>40</v>
      </c>
      <c r="I929" s="23">
        <v>9333.2199999999993</v>
      </c>
      <c r="J929" s="23">
        <v>6742.02</v>
      </c>
      <c r="K929" s="23">
        <v>623</v>
      </c>
      <c r="L929" s="23"/>
      <c r="M929" s="23">
        <v>2626.5</v>
      </c>
      <c r="N929" s="47">
        <v>245.78</v>
      </c>
      <c r="O929" s="23">
        <f>+Table24[[#This Row],[FoodcostBlueline]]+Table24[[#This Row],[Pepsico]]</f>
        <v>2872.28</v>
      </c>
      <c r="P929" s="24">
        <f t="shared" si="36"/>
        <v>0.30774802265456086</v>
      </c>
      <c r="Q929" s="24"/>
      <c r="R929" s="23">
        <f>1350+850+220</f>
        <v>2420</v>
      </c>
      <c r="S929" s="25">
        <f t="shared" si="37"/>
        <v>0.25928886279333396</v>
      </c>
      <c r="T929" s="24"/>
      <c r="U929" s="36">
        <f>Table24[[#This Row],[WagesPercent]]+Table24[[#This Row],[FoodCostPercent]]</f>
        <v>0.56703688544789488</v>
      </c>
      <c r="V929" s="36"/>
    </row>
    <row r="930" spans="1:22" x14ac:dyDescent="0.25">
      <c r="A930" s="20">
        <v>929</v>
      </c>
      <c r="B930" s="21" t="s">
        <v>126</v>
      </c>
      <c r="C930" s="21" t="s">
        <v>125</v>
      </c>
      <c r="D930" s="6" t="s">
        <v>73</v>
      </c>
      <c r="E930" s="6">
        <v>3804033</v>
      </c>
      <c r="F930" s="6" t="s">
        <v>38</v>
      </c>
      <c r="G930" s="6" t="s">
        <v>5</v>
      </c>
      <c r="H930" s="6" t="s">
        <v>40</v>
      </c>
      <c r="I930" s="23">
        <v>7550.59</v>
      </c>
      <c r="J930" s="23">
        <v>7654.68</v>
      </c>
      <c r="K930" s="23">
        <v>601</v>
      </c>
      <c r="L930" s="23"/>
      <c r="M930" s="23">
        <v>2536.71</v>
      </c>
      <c r="N930" s="47">
        <v>0</v>
      </c>
      <c r="O930" s="23">
        <f>+Table24[[#This Row],[FoodcostBlueline]]+Table24[[#This Row],[Pepsico]]</f>
        <v>2536.71</v>
      </c>
      <c r="P930" s="24">
        <f t="shared" si="36"/>
        <v>0.33596182549972914</v>
      </c>
      <c r="Q930" s="24"/>
      <c r="R930" s="23">
        <f>1552.32+650+165.58</f>
        <v>2367.8999999999996</v>
      </c>
      <c r="S930" s="25">
        <f t="shared" si="37"/>
        <v>0.31360463222079327</v>
      </c>
      <c r="T930" s="24"/>
      <c r="U930" s="36">
        <f>Table24[[#This Row],[WagesPercent]]+Table24[[#This Row],[FoodCostPercent]]</f>
        <v>0.64956645772052246</v>
      </c>
      <c r="V930" s="36"/>
    </row>
    <row r="931" spans="1:22" x14ac:dyDescent="0.25">
      <c r="A931" s="20">
        <v>930</v>
      </c>
      <c r="B931" s="21" t="s">
        <v>126</v>
      </c>
      <c r="C931" s="21" t="s">
        <v>125</v>
      </c>
      <c r="D931" s="6" t="s">
        <v>73</v>
      </c>
      <c r="E931" s="6">
        <v>3804034</v>
      </c>
      <c r="F931" s="6" t="s">
        <v>53</v>
      </c>
      <c r="G931" s="6" t="s">
        <v>122</v>
      </c>
      <c r="H931" s="6" t="s">
        <v>41</v>
      </c>
      <c r="I931" s="23">
        <v>8814.31</v>
      </c>
      <c r="J931" s="23">
        <v>10164.11</v>
      </c>
      <c r="K931" s="23">
        <v>480</v>
      </c>
      <c r="L931" s="23"/>
      <c r="M931" s="23">
        <v>2162.31</v>
      </c>
      <c r="N931" s="47">
        <v>0</v>
      </c>
      <c r="O931" s="23">
        <f>+Table24[[#This Row],[FoodcostBlueline]]+Table24[[#This Row],[Pepsico]]</f>
        <v>2162.31</v>
      </c>
      <c r="P931" s="24">
        <f t="shared" si="36"/>
        <v>0.24531812473126088</v>
      </c>
      <c r="Q931" s="24"/>
      <c r="R931" s="23">
        <f>203.5+2400</f>
        <v>2603.5</v>
      </c>
      <c r="S931" s="25">
        <f t="shared" si="37"/>
        <v>0.29537195764614588</v>
      </c>
      <c r="T931" s="24"/>
      <c r="U931" s="36">
        <f>Table24[[#This Row],[WagesPercent]]+Table24[[#This Row],[FoodCostPercent]]</f>
        <v>0.54069008237740679</v>
      </c>
      <c r="V931" s="36"/>
    </row>
    <row r="932" spans="1:22" x14ac:dyDescent="0.25">
      <c r="A932" s="20">
        <v>931</v>
      </c>
      <c r="B932" s="21" t="s">
        <v>128</v>
      </c>
      <c r="C932" s="21" t="s">
        <v>125</v>
      </c>
      <c r="D932" s="6" t="s">
        <v>74</v>
      </c>
      <c r="E932" s="6">
        <v>3804001</v>
      </c>
      <c r="F932" s="6" t="s">
        <v>4</v>
      </c>
      <c r="G932" s="6" t="s">
        <v>5</v>
      </c>
      <c r="H932" s="6" t="s">
        <v>40</v>
      </c>
      <c r="I932" s="23">
        <v>29095.39</v>
      </c>
      <c r="J932" s="23">
        <v>25404.69</v>
      </c>
      <c r="K932" s="23">
        <v>1916</v>
      </c>
      <c r="L932" s="23"/>
      <c r="M932" s="23">
        <f>7890.83+595.5</f>
        <v>8486.33</v>
      </c>
      <c r="N932" s="47">
        <v>740.41</v>
      </c>
      <c r="O932" s="23">
        <f>+Table24[[#This Row],[FoodcostBlueline]]+Table24[[#This Row],[Pepsico]]</f>
        <v>9226.74</v>
      </c>
      <c r="P932" s="24">
        <f t="shared" si="36"/>
        <v>0.3171203410574665</v>
      </c>
      <c r="Q932" s="24"/>
      <c r="R932" s="23">
        <f>6311.91+165</f>
        <v>6476.91</v>
      </c>
      <c r="S932" s="25">
        <f t="shared" si="37"/>
        <v>0.2226094924316189</v>
      </c>
      <c r="T932" s="24"/>
      <c r="U932" s="36">
        <f>Table24[[#This Row],[WagesPercent]]+Table24[[#This Row],[FoodCostPercent]]</f>
        <v>0.53972983348908543</v>
      </c>
      <c r="V932" s="36"/>
    </row>
    <row r="933" spans="1:22" x14ac:dyDescent="0.25">
      <c r="A933" s="20">
        <v>932</v>
      </c>
      <c r="B933" s="21" t="s">
        <v>128</v>
      </c>
      <c r="C933" s="21" t="s">
        <v>125</v>
      </c>
      <c r="D933" s="6" t="s">
        <v>74</v>
      </c>
      <c r="E933" s="6">
        <v>3804002</v>
      </c>
      <c r="F933" s="6" t="s">
        <v>6</v>
      </c>
      <c r="G933" s="6" t="s">
        <v>7</v>
      </c>
      <c r="H933" s="6" t="s">
        <v>41</v>
      </c>
      <c r="I933" s="23">
        <v>15158.35</v>
      </c>
      <c r="J933" s="23">
        <v>14368.15</v>
      </c>
      <c r="K933" s="23">
        <v>1141</v>
      </c>
      <c r="L933" s="23"/>
      <c r="M933" s="23">
        <v>3754.78</v>
      </c>
      <c r="N933" s="47">
        <v>559.9</v>
      </c>
      <c r="O933" s="23">
        <f>+Table24[[#This Row],[FoodcostBlueline]]+Table24[[#This Row],[Pepsico]]</f>
        <v>4314.68</v>
      </c>
      <c r="P933" s="24">
        <f t="shared" si="36"/>
        <v>0.28464047868006742</v>
      </c>
      <c r="Q933" s="24"/>
      <c r="R933" s="23">
        <v>3639.6</v>
      </c>
      <c r="S933" s="25">
        <f t="shared" si="37"/>
        <v>0.24010528850435567</v>
      </c>
      <c r="T933" s="24"/>
      <c r="U933" s="36">
        <f>Table24[[#This Row],[WagesPercent]]+Table24[[#This Row],[FoodCostPercent]]</f>
        <v>0.52474576718442312</v>
      </c>
      <c r="V933" s="36"/>
    </row>
    <row r="934" spans="1:22" x14ac:dyDescent="0.25">
      <c r="A934" s="20">
        <v>933</v>
      </c>
      <c r="B934" s="21" t="s">
        <v>128</v>
      </c>
      <c r="C934" s="21" t="s">
        <v>125</v>
      </c>
      <c r="D934" s="6" t="s">
        <v>74</v>
      </c>
      <c r="E934" s="6">
        <v>3804003</v>
      </c>
      <c r="F934" s="6" t="s">
        <v>8</v>
      </c>
      <c r="G934" s="6" t="s">
        <v>7</v>
      </c>
      <c r="H934" s="6" t="s">
        <v>41</v>
      </c>
      <c r="I934" s="23">
        <v>11628.66</v>
      </c>
      <c r="J934" s="23">
        <v>10819.77</v>
      </c>
      <c r="K934" s="23">
        <v>776</v>
      </c>
      <c r="L934" s="23"/>
      <c r="M934" s="23">
        <f>2934.76-216.11</f>
        <v>2718.65</v>
      </c>
      <c r="N934" s="47">
        <v>0</v>
      </c>
      <c r="O934" s="23">
        <f>+Table24[[#This Row],[FoodcostBlueline]]+Table24[[#This Row],[Pepsico]]</f>
        <v>2718.65</v>
      </c>
      <c r="P934" s="24">
        <f t="shared" si="36"/>
        <v>0.23378875983991279</v>
      </c>
      <c r="Q934" s="24"/>
      <c r="R934" s="23">
        <v>2747.02</v>
      </c>
      <c r="S934" s="25">
        <f t="shared" si="37"/>
        <v>0.23622842184740117</v>
      </c>
      <c r="T934" s="24"/>
      <c r="U934" s="36">
        <f>Table24[[#This Row],[WagesPercent]]+Table24[[#This Row],[FoodCostPercent]]</f>
        <v>0.47001718168731399</v>
      </c>
      <c r="V934" s="36"/>
    </row>
    <row r="935" spans="1:22" x14ac:dyDescent="0.25">
      <c r="A935" s="20">
        <v>934</v>
      </c>
      <c r="B935" s="21" t="s">
        <v>128</v>
      </c>
      <c r="C935" s="21" t="s">
        <v>125</v>
      </c>
      <c r="D935" s="6" t="s">
        <v>74</v>
      </c>
      <c r="E935" s="6">
        <v>3804004</v>
      </c>
      <c r="F935" s="6" t="s">
        <v>9</v>
      </c>
      <c r="G935" s="6" t="s">
        <v>7</v>
      </c>
      <c r="H935" s="6" t="s">
        <v>41</v>
      </c>
      <c r="I935" s="23">
        <v>15894.27</v>
      </c>
      <c r="J935" s="23">
        <v>16624.27</v>
      </c>
      <c r="K935" s="23">
        <v>1083</v>
      </c>
      <c r="L935" s="23"/>
      <c r="M935" s="53">
        <v>4483.95</v>
      </c>
      <c r="N935" s="47">
        <v>602.6</v>
      </c>
      <c r="O935" s="23">
        <f>+Table24[[#This Row],[FoodcostBlueline]]+Table24[[#This Row],[Pepsico]]</f>
        <v>5086.55</v>
      </c>
      <c r="P935" s="24">
        <f t="shared" si="36"/>
        <v>0.320024134483685</v>
      </c>
      <c r="Q935" s="24"/>
      <c r="R935" s="23">
        <v>4762.0200000000004</v>
      </c>
      <c r="S935" s="25">
        <f t="shared" si="37"/>
        <v>0.29960608445685144</v>
      </c>
      <c r="T935" s="24"/>
      <c r="U935" s="36">
        <f>Table24[[#This Row],[WagesPercent]]+Table24[[#This Row],[FoodCostPercent]]</f>
        <v>0.61963021894053649</v>
      </c>
      <c r="V935" s="36"/>
    </row>
    <row r="936" spans="1:22" x14ac:dyDescent="0.25">
      <c r="A936" s="20">
        <v>935</v>
      </c>
      <c r="B936" s="21" t="s">
        <v>128</v>
      </c>
      <c r="C936" s="21" t="s">
        <v>125</v>
      </c>
      <c r="D936" s="6" t="s">
        <v>74</v>
      </c>
      <c r="E936" s="6">
        <v>3804005</v>
      </c>
      <c r="F936" s="6" t="s">
        <v>10</v>
      </c>
      <c r="G936" s="6" t="s">
        <v>7</v>
      </c>
      <c r="H936" s="6" t="s">
        <v>41</v>
      </c>
      <c r="I936" s="23">
        <v>13008.92</v>
      </c>
      <c r="J936" s="23">
        <v>16270.64</v>
      </c>
      <c r="K936" s="23">
        <v>847</v>
      </c>
      <c r="L936" s="23"/>
      <c r="M936" s="37">
        <f>2583.24-56.29</f>
        <v>2526.9499999999998</v>
      </c>
      <c r="N936" s="47">
        <v>0</v>
      </c>
      <c r="O936" s="23">
        <f>+Table24[[#This Row],[FoodcostBlueline]]+Table24[[#This Row],[Pepsico]]</f>
        <v>2526.9499999999998</v>
      </c>
      <c r="P936" s="24">
        <f t="shared" si="36"/>
        <v>0.19424748557143867</v>
      </c>
      <c r="Q936" s="24"/>
      <c r="R936" s="23">
        <v>3102.25</v>
      </c>
      <c r="S936" s="25">
        <f t="shared" si="37"/>
        <v>0.23847098759927804</v>
      </c>
      <c r="T936" s="24"/>
      <c r="U936" s="36">
        <f>Table24[[#This Row],[WagesPercent]]+Table24[[#This Row],[FoodCostPercent]]</f>
        <v>0.43271847317071671</v>
      </c>
      <c r="V936" s="36"/>
    </row>
    <row r="937" spans="1:22" x14ac:dyDescent="0.25">
      <c r="A937" s="20">
        <v>936</v>
      </c>
      <c r="B937" s="21" t="s">
        <v>128</v>
      </c>
      <c r="C937" s="21" t="s">
        <v>125</v>
      </c>
      <c r="D937" s="6" t="s">
        <v>74</v>
      </c>
      <c r="E937" s="6">
        <v>3804006</v>
      </c>
      <c r="F937" s="6" t="s">
        <v>11</v>
      </c>
      <c r="G937" s="6" t="s">
        <v>7</v>
      </c>
      <c r="H937" s="6" t="s">
        <v>41</v>
      </c>
      <c r="I937" s="23">
        <v>8156.33</v>
      </c>
      <c r="J937" s="23">
        <v>10648.41</v>
      </c>
      <c r="K937" s="23">
        <v>602</v>
      </c>
      <c r="L937" s="23"/>
      <c r="M937" s="23">
        <v>1755.51</v>
      </c>
      <c r="N937" s="47">
        <v>364.01</v>
      </c>
      <c r="O937" s="23">
        <f>+Table24[[#This Row],[FoodcostBlueline]]+Table24[[#This Row],[Pepsico]]</f>
        <v>2119.52</v>
      </c>
      <c r="P937" s="24">
        <f t="shared" si="36"/>
        <v>0.25986197223506158</v>
      </c>
      <c r="Q937" s="24"/>
      <c r="R937" s="23">
        <v>1987.61</v>
      </c>
      <c r="S937" s="25">
        <f t="shared" si="37"/>
        <v>0.24368925730077129</v>
      </c>
      <c r="T937" s="24"/>
      <c r="U937" s="36">
        <f>Table24[[#This Row],[WagesPercent]]+Table24[[#This Row],[FoodCostPercent]]</f>
        <v>0.50355122953583287</v>
      </c>
      <c r="V937" s="36"/>
    </row>
    <row r="938" spans="1:22" x14ac:dyDescent="0.25">
      <c r="A938" s="20">
        <v>937</v>
      </c>
      <c r="B938" s="21" t="s">
        <v>128</v>
      </c>
      <c r="C938" s="21" t="s">
        <v>125</v>
      </c>
      <c r="D938" s="6" t="s">
        <v>74</v>
      </c>
      <c r="E938" s="6">
        <v>3804008</v>
      </c>
      <c r="F938" s="6" t="s">
        <v>12</v>
      </c>
      <c r="G938" s="6" t="s">
        <v>127</v>
      </c>
      <c r="H938" s="6" t="s">
        <v>41</v>
      </c>
      <c r="I938" s="23">
        <v>23928.38</v>
      </c>
      <c r="J938" s="23">
        <v>23253.17</v>
      </c>
      <c r="K938" s="23">
        <v>1460</v>
      </c>
      <c r="L938" s="23"/>
      <c r="M938" s="23">
        <v>5514.02</v>
      </c>
      <c r="N938" s="47">
        <v>468.2</v>
      </c>
      <c r="O938" s="23">
        <f>+Table24[[#This Row],[FoodcostBlueline]]+Table24[[#This Row],[Pepsico]]</f>
        <v>5982.22</v>
      </c>
      <c r="P938" s="24">
        <f t="shared" si="36"/>
        <v>0.25000522392238839</v>
      </c>
      <c r="Q938" s="24"/>
      <c r="R938" s="23">
        <f>3300+550+1042</f>
        <v>4892</v>
      </c>
      <c r="S938" s="25">
        <f t="shared" si="37"/>
        <v>0.20444342659218884</v>
      </c>
      <c r="T938" s="24"/>
      <c r="U938" s="36">
        <f>Table24[[#This Row],[WagesPercent]]+Table24[[#This Row],[FoodCostPercent]]</f>
        <v>0.45444865051457722</v>
      </c>
      <c r="V938" s="36"/>
    </row>
    <row r="939" spans="1:22" x14ac:dyDescent="0.25">
      <c r="A939" s="20">
        <v>938</v>
      </c>
      <c r="B939" s="21" t="s">
        <v>128</v>
      </c>
      <c r="C939" s="21" t="s">
        <v>125</v>
      </c>
      <c r="D939" s="6" t="s">
        <v>74</v>
      </c>
      <c r="E939" s="6">
        <v>3804009</v>
      </c>
      <c r="F939" s="6" t="s">
        <v>13</v>
      </c>
      <c r="G939" s="6" t="s">
        <v>127</v>
      </c>
      <c r="H939" s="6" t="s">
        <v>41</v>
      </c>
      <c r="I939" s="23">
        <v>17756.580000000002</v>
      </c>
      <c r="J939" s="23">
        <v>15774.07</v>
      </c>
      <c r="K939" s="23">
        <v>1028</v>
      </c>
      <c r="L939" s="23"/>
      <c r="M939" s="23">
        <v>4410.7</v>
      </c>
      <c r="N939" s="47">
        <v>502.14</v>
      </c>
      <c r="O939" s="23">
        <f>+Table24[[#This Row],[FoodcostBlueline]]+Table24[[#This Row],[Pepsico]]</f>
        <v>4912.84</v>
      </c>
      <c r="P939" s="24">
        <f t="shared" si="36"/>
        <v>0.27667715292021322</v>
      </c>
      <c r="Q939" s="24"/>
      <c r="R939" s="23">
        <f>1592.2+500+1986</f>
        <v>4078.2</v>
      </c>
      <c r="S939" s="25">
        <f t="shared" si="37"/>
        <v>0.2296726058734283</v>
      </c>
      <c r="T939" s="24"/>
      <c r="U939" s="36">
        <f>Table24[[#This Row],[WagesPercent]]+Table24[[#This Row],[FoodCostPercent]]</f>
        <v>0.50634975879364152</v>
      </c>
      <c r="V939" s="36"/>
    </row>
    <row r="940" spans="1:22" x14ac:dyDescent="0.25">
      <c r="A940" s="20">
        <v>939</v>
      </c>
      <c r="B940" s="21" t="s">
        <v>128</v>
      </c>
      <c r="C940" s="21" t="s">
        <v>125</v>
      </c>
      <c r="D940" s="6" t="s">
        <v>74</v>
      </c>
      <c r="E940" s="6">
        <v>3804010</v>
      </c>
      <c r="F940" s="6" t="s">
        <v>14</v>
      </c>
      <c r="G940" s="6" t="s">
        <v>122</v>
      </c>
      <c r="H940" s="6" t="s">
        <v>41</v>
      </c>
      <c r="I940" s="23">
        <v>5816.49</v>
      </c>
      <c r="J940" s="23">
        <v>8312.23</v>
      </c>
      <c r="K940" s="23">
        <v>323</v>
      </c>
      <c r="L940" s="23"/>
      <c r="M940" s="23">
        <v>4444.04</v>
      </c>
      <c r="N940" s="47">
        <v>0</v>
      </c>
      <c r="O940" s="23">
        <f>+Table24[[#This Row],[FoodcostBlueline]]+Table24[[#This Row],[Pepsico]]</f>
        <v>4444.04</v>
      </c>
      <c r="P940" s="24">
        <f t="shared" si="36"/>
        <v>0.7640415439552033</v>
      </c>
      <c r="Q940" s="24"/>
      <c r="R940" s="23">
        <v>2708.52</v>
      </c>
      <c r="S940" s="25">
        <f t="shared" si="37"/>
        <v>0.46566228086010636</v>
      </c>
      <c r="T940" s="24"/>
      <c r="U940" s="36">
        <f>Table24[[#This Row],[WagesPercent]]+Table24[[#This Row],[FoodCostPercent]]</f>
        <v>1.2297038248153096</v>
      </c>
      <c r="V940" s="36"/>
    </row>
    <row r="941" spans="1:22" x14ac:dyDescent="0.25">
      <c r="A941" s="20">
        <v>940</v>
      </c>
      <c r="B941" s="21" t="s">
        <v>128</v>
      </c>
      <c r="C941" s="21" t="s">
        <v>125</v>
      </c>
      <c r="D941" s="6" t="s">
        <v>74</v>
      </c>
      <c r="E941" s="6">
        <v>3804011</v>
      </c>
      <c r="F941" s="6" t="s">
        <v>15</v>
      </c>
      <c r="G941" s="6" t="s">
        <v>122</v>
      </c>
      <c r="H941" s="6" t="s">
        <v>41</v>
      </c>
      <c r="I941" s="23">
        <v>30399.85</v>
      </c>
      <c r="J941" s="23">
        <v>26306.560000000001</v>
      </c>
      <c r="K941" s="23">
        <v>1940</v>
      </c>
      <c r="L941" s="23"/>
      <c r="M941" s="23">
        <f>7589.18-18.72</f>
        <v>7570.46</v>
      </c>
      <c r="N941" s="47">
        <v>553.47</v>
      </c>
      <c r="O941" s="23">
        <f>+Table24[[#This Row],[FoodcostBlueline]]+Table24[[#This Row],[Pepsico]]</f>
        <v>8123.93</v>
      </c>
      <c r="P941" s="24">
        <f t="shared" si="36"/>
        <v>0.26723585807166816</v>
      </c>
      <c r="Q941" s="24"/>
      <c r="R941" s="23">
        <v>2775.33</v>
      </c>
      <c r="S941" s="25">
        <f t="shared" si="37"/>
        <v>9.1294200464804923E-2</v>
      </c>
      <c r="T941" s="24"/>
      <c r="U941" s="36">
        <f>Table24[[#This Row],[WagesPercent]]+Table24[[#This Row],[FoodCostPercent]]</f>
        <v>0.35853005853647307</v>
      </c>
      <c r="V941" s="36"/>
    </row>
    <row r="942" spans="1:22" x14ac:dyDescent="0.25">
      <c r="A942" s="20">
        <v>941</v>
      </c>
      <c r="B942" s="21" t="s">
        <v>128</v>
      </c>
      <c r="C942" s="21" t="s">
        <v>125</v>
      </c>
      <c r="D942" s="6" t="s">
        <v>74</v>
      </c>
      <c r="E942" s="6">
        <v>3804013</v>
      </c>
      <c r="F942" s="6" t="s">
        <v>17</v>
      </c>
      <c r="G942" s="6" t="s">
        <v>122</v>
      </c>
      <c r="H942" s="6" t="s">
        <v>41</v>
      </c>
      <c r="I942" s="23">
        <v>8245.16</v>
      </c>
      <c r="J942" s="23">
        <v>8588.85</v>
      </c>
      <c r="K942" s="23">
        <v>526</v>
      </c>
      <c r="L942" s="23"/>
      <c r="M942" s="23">
        <f>3094.07-25.05</f>
        <v>3069.02</v>
      </c>
      <c r="N942" s="47">
        <v>202.33</v>
      </c>
      <c r="O942" s="23">
        <f>+Table24[[#This Row],[FoodcostBlueline]]+Table24[[#This Row],[Pepsico]]</f>
        <v>3271.35</v>
      </c>
      <c r="P942" s="24">
        <f t="shared" si="36"/>
        <v>0.39676003861659448</v>
      </c>
      <c r="Q942" s="24"/>
      <c r="R942" s="23">
        <v>2368.92</v>
      </c>
      <c r="S942" s="25">
        <f t="shared" si="37"/>
        <v>0.28731037360099743</v>
      </c>
      <c r="T942" s="24"/>
      <c r="U942" s="36">
        <f>Table24[[#This Row],[WagesPercent]]+Table24[[#This Row],[FoodCostPercent]]</f>
        <v>0.68407041221759191</v>
      </c>
      <c r="V942" s="36"/>
    </row>
    <row r="943" spans="1:22" x14ac:dyDescent="0.25">
      <c r="A943" s="20">
        <v>942</v>
      </c>
      <c r="B943" s="21" t="s">
        <v>128</v>
      </c>
      <c r="C943" s="21" t="s">
        <v>125</v>
      </c>
      <c r="D943" s="6" t="s">
        <v>74</v>
      </c>
      <c r="E943" s="6">
        <v>3804014</v>
      </c>
      <c r="F943" s="6" t="s">
        <v>18</v>
      </c>
      <c r="G943" s="6" t="s">
        <v>122</v>
      </c>
      <c r="H943" s="6" t="s">
        <v>41</v>
      </c>
      <c r="I943" s="23">
        <v>7297.7</v>
      </c>
      <c r="J943" s="23">
        <v>10037.780000000001</v>
      </c>
      <c r="K943" s="23">
        <v>448</v>
      </c>
      <c r="L943" s="23"/>
      <c r="M943" s="23">
        <f>3611.34-45.04</f>
        <v>3566.3</v>
      </c>
      <c r="N943" s="47">
        <v>0</v>
      </c>
      <c r="O943" s="23">
        <f>+Table24[[#This Row],[FoodcostBlueline]]+Table24[[#This Row],[Pepsico]]</f>
        <v>3566.3</v>
      </c>
      <c r="P943" s="24">
        <f t="shared" si="36"/>
        <v>0.48868821683544134</v>
      </c>
      <c r="Q943" s="24"/>
      <c r="R943" s="23">
        <f>2937.73+384.03</f>
        <v>3321.76</v>
      </c>
      <c r="S943" s="25">
        <f t="shared" si="37"/>
        <v>0.45517902900913992</v>
      </c>
      <c r="T943" s="24"/>
      <c r="U943" s="36">
        <f>Table24[[#This Row],[WagesPercent]]+Table24[[#This Row],[FoodCostPercent]]</f>
        <v>0.94386724584458126</v>
      </c>
      <c r="V943" s="36"/>
    </row>
    <row r="944" spans="1:22" x14ac:dyDescent="0.25">
      <c r="A944" s="20">
        <v>943</v>
      </c>
      <c r="B944" s="21" t="s">
        <v>128</v>
      </c>
      <c r="C944" s="21" t="s">
        <v>125</v>
      </c>
      <c r="D944" s="6" t="s">
        <v>74</v>
      </c>
      <c r="E944" s="6">
        <v>3804015</v>
      </c>
      <c r="F944" s="6" t="s">
        <v>19</v>
      </c>
      <c r="G944" s="6" t="s">
        <v>20</v>
      </c>
      <c r="H944" s="6" t="s">
        <v>41</v>
      </c>
      <c r="I944" s="23">
        <v>15564.78</v>
      </c>
      <c r="J944" s="23">
        <v>15716</v>
      </c>
      <c r="K944" s="23">
        <v>963</v>
      </c>
      <c r="L944" s="23"/>
      <c r="M944" s="23">
        <v>4744.0600000000004</v>
      </c>
      <c r="N944" s="47">
        <v>0</v>
      </c>
      <c r="O944" s="23">
        <f>+Table24[[#This Row],[FoodcostBlueline]]+Table24[[#This Row],[Pepsico]]</f>
        <v>4744.0600000000004</v>
      </c>
      <c r="P944" s="24">
        <f t="shared" si="36"/>
        <v>0.30479454255055327</v>
      </c>
      <c r="Q944" s="24"/>
      <c r="R944" s="23">
        <v>3716.34</v>
      </c>
      <c r="S944" s="25">
        <f t="shared" si="37"/>
        <v>0.23876598320053352</v>
      </c>
      <c r="T944" s="24"/>
      <c r="U944" s="36">
        <f>Table24[[#This Row],[WagesPercent]]+Table24[[#This Row],[FoodCostPercent]]</f>
        <v>0.54356052575108682</v>
      </c>
      <c r="V944" s="36"/>
    </row>
    <row r="945" spans="1:22" x14ac:dyDescent="0.25">
      <c r="A945" s="20">
        <v>944</v>
      </c>
      <c r="B945" s="21" t="s">
        <v>128</v>
      </c>
      <c r="C945" s="21" t="s">
        <v>125</v>
      </c>
      <c r="D945" s="6" t="s">
        <v>74</v>
      </c>
      <c r="E945" s="6">
        <v>3804016</v>
      </c>
      <c r="F945" s="6" t="s">
        <v>21</v>
      </c>
      <c r="G945" s="6" t="s">
        <v>120</v>
      </c>
      <c r="H945" s="6" t="s">
        <v>40</v>
      </c>
      <c r="I945" s="23">
        <v>13515.76</v>
      </c>
      <c r="J945" s="23">
        <v>13921</v>
      </c>
      <c r="K945" s="23">
        <v>804</v>
      </c>
      <c r="L945" s="23"/>
      <c r="M945" s="23">
        <f>3837.4-12.35</f>
        <v>3825.05</v>
      </c>
      <c r="N945" s="47">
        <v>286.42</v>
      </c>
      <c r="O945" s="23">
        <f>+Table24[[#This Row],[FoodcostBlueline]]+Table24[[#This Row],[Pepsico]]</f>
        <v>4111.47</v>
      </c>
      <c r="P945" s="24">
        <f t="shared" si="36"/>
        <v>0.30419821008955472</v>
      </c>
      <c r="Q945" s="24"/>
      <c r="R945" s="23">
        <v>3011.67</v>
      </c>
      <c r="S945" s="25">
        <f t="shared" si="37"/>
        <v>0.22282653731643651</v>
      </c>
      <c r="T945" s="24"/>
      <c r="U945" s="36">
        <f>Table24[[#This Row],[WagesPercent]]+Table24[[#This Row],[FoodCostPercent]]</f>
        <v>0.52702474740599126</v>
      </c>
      <c r="V945" s="36"/>
    </row>
    <row r="946" spans="1:22" x14ac:dyDescent="0.25">
      <c r="A946" s="20">
        <v>945</v>
      </c>
      <c r="B946" s="21" t="s">
        <v>128</v>
      </c>
      <c r="C946" s="21" t="s">
        <v>125</v>
      </c>
      <c r="D946" s="6" t="s">
        <v>74</v>
      </c>
      <c r="E946" s="6">
        <v>3804017</v>
      </c>
      <c r="F946" s="6" t="s">
        <v>23</v>
      </c>
      <c r="G946" s="6" t="s">
        <v>120</v>
      </c>
      <c r="H946" s="6" t="s">
        <v>40</v>
      </c>
      <c r="I946" s="23">
        <v>9050.07</v>
      </c>
      <c r="J946" s="23">
        <v>18654.29</v>
      </c>
      <c r="K946" s="23">
        <v>566</v>
      </c>
      <c r="L946" s="23"/>
      <c r="M946" s="23">
        <f>5230.99-40.87</f>
        <v>5190.12</v>
      </c>
      <c r="N946" s="47">
        <v>0</v>
      </c>
      <c r="O946" s="23">
        <f>+Table24[[#This Row],[FoodcostBlueline]]+Table24[[#This Row],[Pepsico]]</f>
        <v>5190.12</v>
      </c>
      <c r="P946" s="24">
        <f t="shared" si="36"/>
        <v>0.57348948682164891</v>
      </c>
      <c r="Q946" s="24"/>
      <c r="R946" s="23">
        <v>2671.03</v>
      </c>
      <c r="S946" s="25">
        <f t="shared" si="37"/>
        <v>0.2951391536198063</v>
      </c>
      <c r="T946" s="24"/>
      <c r="U946" s="36">
        <f>Table24[[#This Row],[WagesPercent]]+Table24[[#This Row],[FoodCostPercent]]</f>
        <v>0.86862864044145516</v>
      </c>
      <c r="V946" s="36"/>
    </row>
    <row r="947" spans="1:22" x14ac:dyDescent="0.25">
      <c r="A947" s="20">
        <v>946</v>
      </c>
      <c r="B947" s="21" t="s">
        <v>128</v>
      </c>
      <c r="C947" s="21" t="s">
        <v>125</v>
      </c>
      <c r="D947" s="6" t="s">
        <v>74</v>
      </c>
      <c r="E947" s="6">
        <v>3804018</v>
      </c>
      <c r="F947" s="6" t="s">
        <v>24</v>
      </c>
      <c r="G947" s="6" t="s">
        <v>20</v>
      </c>
      <c r="H947" s="6" t="s">
        <v>41</v>
      </c>
      <c r="I947" s="23">
        <v>22910.58</v>
      </c>
      <c r="J947" s="23">
        <v>20289.599999999999</v>
      </c>
      <c r="K947" s="23">
        <v>1314</v>
      </c>
      <c r="L947" s="23"/>
      <c r="M947" s="23">
        <f>5786.22-12.35</f>
        <v>5773.87</v>
      </c>
      <c r="N947" s="47">
        <v>432.43</v>
      </c>
      <c r="O947" s="23">
        <f>+Table24[[#This Row],[FoodcostBlueline]]+Table24[[#This Row],[Pepsico]]</f>
        <v>6206.3</v>
      </c>
      <c r="P947" s="24">
        <f t="shared" si="36"/>
        <v>0.2708923126345994</v>
      </c>
      <c r="Q947" s="24"/>
      <c r="R947" s="23">
        <v>5017.07</v>
      </c>
      <c r="S947" s="25">
        <f t="shared" si="37"/>
        <v>0.21898485328612369</v>
      </c>
      <c r="T947" s="24"/>
      <c r="U947" s="36">
        <f>Table24[[#This Row],[WagesPercent]]+Table24[[#This Row],[FoodCostPercent]]</f>
        <v>0.48987716592072306</v>
      </c>
      <c r="V947" s="36"/>
    </row>
    <row r="948" spans="1:22" x14ac:dyDescent="0.25">
      <c r="A948" s="20">
        <v>947</v>
      </c>
      <c r="B948" s="21" t="s">
        <v>128</v>
      </c>
      <c r="C948" s="21" t="s">
        <v>125</v>
      </c>
      <c r="D948" s="6" t="s">
        <v>74</v>
      </c>
      <c r="E948" s="6">
        <v>3804019</v>
      </c>
      <c r="F948" s="6" t="s">
        <v>25</v>
      </c>
      <c r="G948" s="6" t="s">
        <v>20</v>
      </c>
      <c r="H948" s="6" t="s">
        <v>41</v>
      </c>
      <c r="I948" s="23">
        <v>14573.71</v>
      </c>
      <c r="J948" s="23">
        <v>13423.82</v>
      </c>
      <c r="K948" s="23">
        <v>843</v>
      </c>
      <c r="L948" s="23"/>
      <c r="M948" s="23">
        <v>4454.4399999999996</v>
      </c>
      <c r="N948" s="47">
        <v>0</v>
      </c>
      <c r="O948" s="23">
        <f>+Table24[[#This Row],[FoodcostBlueline]]+Table24[[#This Row],[Pepsico]]</f>
        <v>4454.4399999999996</v>
      </c>
      <c r="P948" s="24">
        <f t="shared" si="36"/>
        <v>0.30564900769948078</v>
      </c>
      <c r="Q948" s="24"/>
      <c r="R948" s="23">
        <v>3333.47</v>
      </c>
      <c r="S948" s="25">
        <f t="shared" si="37"/>
        <v>0.22873173680552172</v>
      </c>
      <c r="T948" s="24"/>
      <c r="U948" s="36">
        <f>Table24[[#This Row],[WagesPercent]]+Table24[[#This Row],[FoodCostPercent]]</f>
        <v>0.5343807445050025</v>
      </c>
      <c r="V948" s="36"/>
    </row>
    <row r="949" spans="1:22" x14ac:dyDescent="0.25">
      <c r="A949" s="20">
        <v>948</v>
      </c>
      <c r="B949" s="21" t="s">
        <v>128</v>
      </c>
      <c r="C949" s="21" t="s">
        <v>125</v>
      </c>
      <c r="D949" s="6" t="s">
        <v>74</v>
      </c>
      <c r="E949" s="6">
        <v>3804020</v>
      </c>
      <c r="F949" s="6" t="s">
        <v>26</v>
      </c>
      <c r="G949" s="6" t="s">
        <v>120</v>
      </c>
      <c r="H949" s="6" t="s">
        <v>40</v>
      </c>
      <c r="I949" s="23">
        <v>13920.71</v>
      </c>
      <c r="J949" s="23">
        <v>12007.33</v>
      </c>
      <c r="K949" s="23">
        <v>798</v>
      </c>
      <c r="L949" s="23"/>
      <c r="M949" s="23">
        <v>3908.54</v>
      </c>
      <c r="N949" s="47">
        <v>197.65</v>
      </c>
      <c r="O949" s="23">
        <f>+Table24[[#This Row],[FoodcostBlueline]]+Table24[[#This Row],[Pepsico]]</f>
        <v>4106.1899999999996</v>
      </c>
      <c r="P949" s="24">
        <f t="shared" si="36"/>
        <v>0.29496986863457392</v>
      </c>
      <c r="Q949" s="24"/>
      <c r="R949" s="23">
        <v>2868.98</v>
      </c>
      <c r="S949" s="25">
        <f t="shared" si="37"/>
        <v>0.20609437305999481</v>
      </c>
      <c r="T949" s="24"/>
      <c r="U949" s="36">
        <f>Table24[[#This Row],[WagesPercent]]+Table24[[#This Row],[FoodCostPercent]]</f>
        <v>0.50106424169456876</v>
      </c>
      <c r="V949" s="36"/>
    </row>
    <row r="950" spans="1:22" x14ac:dyDescent="0.25">
      <c r="A950" s="20">
        <v>949</v>
      </c>
      <c r="B950" s="21" t="s">
        <v>128</v>
      </c>
      <c r="C950" s="21" t="s">
        <v>125</v>
      </c>
      <c r="D950" s="6" t="s">
        <v>74</v>
      </c>
      <c r="E950" s="6">
        <v>3804021</v>
      </c>
      <c r="F950" s="6" t="s">
        <v>27</v>
      </c>
      <c r="G950" s="6" t="s">
        <v>120</v>
      </c>
      <c r="H950" s="6" t="s">
        <v>40</v>
      </c>
      <c r="I950" s="23">
        <v>23985.01</v>
      </c>
      <c r="J950" s="23">
        <v>23863.41</v>
      </c>
      <c r="K950" s="23">
        <v>1389</v>
      </c>
      <c r="L950" s="23"/>
      <c r="M950" s="23">
        <v>6410.93</v>
      </c>
      <c r="N950" s="47">
        <v>671.12</v>
      </c>
      <c r="O950" s="23">
        <f>+Table24[[#This Row],[FoodcostBlueline]]+Table24[[#This Row],[Pepsico]]</f>
        <v>7082.05</v>
      </c>
      <c r="P950" s="24">
        <f t="shared" si="36"/>
        <v>0.29526983728587147</v>
      </c>
      <c r="Q950" s="24"/>
      <c r="R950" s="23">
        <v>4856.08</v>
      </c>
      <c r="S950" s="25">
        <f t="shared" si="37"/>
        <v>0.20246312175813144</v>
      </c>
      <c r="T950" s="24"/>
      <c r="U950" s="36">
        <f>Table24[[#This Row],[WagesPercent]]+Table24[[#This Row],[FoodCostPercent]]</f>
        <v>0.49773295904400294</v>
      </c>
      <c r="V950" s="36"/>
    </row>
    <row r="951" spans="1:22" x14ac:dyDescent="0.25">
      <c r="A951" s="20">
        <v>950</v>
      </c>
      <c r="B951" s="21" t="s">
        <v>128</v>
      </c>
      <c r="C951" s="21" t="s">
        <v>125</v>
      </c>
      <c r="D951" s="6" t="s">
        <v>74</v>
      </c>
      <c r="E951" s="6">
        <v>3804022</v>
      </c>
      <c r="F951" s="6" t="s">
        <v>28</v>
      </c>
      <c r="G951" s="6" t="s">
        <v>120</v>
      </c>
      <c r="H951" s="6" t="s">
        <v>40</v>
      </c>
      <c r="I951" s="23">
        <v>14433.69</v>
      </c>
      <c r="J951" s="23">
        <v>15484.69</v>
      </c>
      <c r="K951" s="23">
        <v>841</v>
      </c>
      <c r="L951" s="23"/>
      <c r="M951" s="23">
        <v>3990.72</v>
      </c>
      <c r="N951" s="47">
        <v>256.72000000000003</v>
      </c>
      <c r="O951" s="23">
        <f>+Table24[[#This Row],[FoodcostBlueline]]+Table24[[#This Row],[Pepsico]]</f>
        <v>4247.4399999999996</v>
      </c>
      <c r="P951" s="24">
        <f t="shared" si="36"/>
        <v>0.29427263575703783</v>
      </c>
      <c r="Q951" s="24"/>
      <c r="R951" s="23">
        <v>3060.75</v>
      </c>
      <c r="S951" s="25">
        <f t="shared" si="37"/>
        <v>0.21205596074184771</v>
      </c>
      <c r="T951" s="24"/>
      <c r="U951" s="36">
        <f>Table24[[#This Row],[WagesPercent]]+Table24[[#This Row],[FoodCostPercent]]</f>
        <v>0.50632859649888551</v>
      </c>
      <c r="V951" s="36"/>
    </row>
    <row r="952" spans="1:22" x14ac:dyDescent="0.25">
      <c r="A952" s="20">
        <v>951</v>
      </c>
      <c r="B952" s="21" t="s">
        <v>128</v>
      </c>
      <c r="C952" s="21" t="s">
        <v>125</v>
      </c>
      <c r="D952" s="6" t="s">
        <v>74</v>
      </c>
      <c r="E952" s="6">
        <v>3804023</v>
      </c>
      <c r="F952" s="6" t="s">
        <v>29</v>
      </c>
      <c r="G952" s="6" t="s">
        <v>120</v>
      </c>
      <c r="H952" s="6" t="s">
        <v>40</v>
      </c>
      <c r="I952" s="23">
        <v>12160.49</v>
      </c>
      <c r="J952" s="23">
        <v>15802.72</v>
      </c>
      <c r="K952" s="23">
        <v>716</v>
      </c>
      <c r="L952" s="23"/>
      <c r="M952" s="23">
        <v>4584.97</v>
      </c>
      <c r="N952" s="47">
        <v>0</v>
      </c>
      <c r="O952" s="23">
        <f>+Table24[[#This Row],[FoodcostBlueline]]+Table24[[#This Row],[Pepsico]]</f>
        <v>4584.97</v>
      </c>
      <c r="P952" s="24">
        <f t="shared" si="36"/>
        <v>0.3770382607937674</v>
      </c>
      <c r="Q952" s="24"/>
      <c r="R952" s="23">
        <v>3534.99</v>
      </c>
      <c r="S952" s="25">
        <f t="shared" si="37"/>
        <v>0.29069470062472808</v>
      </c>
      <c r="T952" s="24"/>
      <c r="U952" s="36">
        <f>Table24[[#This Row],[WagesPercent]]+Table24[[#This Row],[FoodCostPercent]]</f>
        <v>0.66773296141849547</v>
      </c>
      <c r="V952" s="36"/>
    </row>
    <row r="953" spans="1:22" x14ac:dyDescent="0.25">
      <c r="A953" s="20">
        <v>952</v>
      </c>
      <c r="B953" s="21" t="s">
        <v>128</v>
      </c>
      <c r="C953" s="21" t="s">
        <v>125</v>
      </c>
      <c r="D953" s="6" t="s">
        <v>74</v>
      </c>
      <c r="E953" s="6">
        <v>3804024</v>
      </c>
      <c r="F953" s="6" t="s">
        <v>30</v>
      </c>
      <c r="G953" s="6" t="s">
        <v>20</v>
      </c>
      <c r="H953" s="6" t="s">
        <v>41</v>
      </c>
      <c r="I953" s="23">
        <v>10811.74</v>
      </c>
      <c r="J953" s="23">
        <v>13421.68</v>
      </c>
      <c r="K953" s="23">
        <v>667</v>
      </c>
      <c r="L953" s="23"/>
      <c r="M953" s="23">
        <v>3285.93</v>
      </c>
      <c r="N953" s="47">
        <v>309.98</v>
      </c>
      <c r="O953" s="23">
        <f>+Table24[[#This Row],[FoodcostBlueline]]+Table24[[#This Row],[Pepsico]]</f>
        <v>3595.91</v>
      </c>
      <c r="P953" s="24">
        <f t="shared" si="36"/>
        <v>0.33259308862403275</v>
      </c>
      <c r="Q953" s="24"/>
      <c r="R953" s="23">
        <f>3451.32+69.23</f>
        <v>3520.55</v>
      </c>
      <c r="S953" s="25">
        <f t="shared" si="37"/>
        <v>0.32562288771280112</v>
      </c>
      <c r="T953" s="24"/>
      <c r="U953" s="36">
        <f>Table24[[#This Row],[WagesPercent]]+Table24[[#This Row],[FoodCostPercent]]</f>
        <v>0.65821597633683382</v>
      </c>
      <c r="V953" s="36"/>
    </row>
    <row r="954" spans="1:22" x14ac:dyDescent="0.25">
      <c r="A954" s="20">
        <v>953</v>
      </c>
      <c r="B954" s="21" t="s">
        <v>128</v>
      </c>
      <c r="C954" s="21" t="s">
        <v>125</v>
      </c>
      <c r="D954" s="6" t="s">
        <v>74</v>
      </c>
      <c r="E954" s="6">
        <v>3804025</v>
      </c>
      <c r="F954" s="6" t="s">
        <v>31</v>
      </c>
      <c r="G954" s="6" t="s">
        <v>20</v>
      </c>
      <c r="H954" s="6" t="s">
        <v>41</v>
      </c>
      <c r="I954" s="23">
        <v>28822.91</v>
      </c>
      <c r="J954" s="23">
        <v>26806.560000000001</v>
      </c>
      <c r="K954" s="23">
        <v>1773</v>
      </c>
      <c r="L954" s="23"/>
      <c r="M954" s="23">
        <v>8811.0499999999993</v>
      </c>
      <c r="N954" s="47">
        <v>285.27</v>
      </c>
      <c r="O954" s="23">
        <f>+Table24[[#This Row],[FoodcostBlueline]]+Table24[[#This Row],[Pepsico]]</f>
        <v>9096.32</v>
      </c>
      <c r="P954" s="24">
        <f t="shared" si="36"/>
        <v>0.31559339428253425</v>
      </c>
      <c r="Q954" s="24"/>
      <c r="R954" s="23">
        <v>6430.91</v>
      </c>
      <c r="S954" s="25">
        <f t="shared" si="37"/>
        <v>0.22311799884189348</v>
      </c>
      <c r="T954" s="24"/>
      <c r="U954" s="36">
        <f>Table24[[#This Row],[WagesPercent]]+Table24[[#This Row],[FoodCostPercent]]</f>
        <v>0.53871139312442773</v>
      </c>
      <c r="V954" s="36"/>
    </row>
    <row r="955" spans="1:22" x14ac:dyDescent="0.25">
      <c r="A955" s="20">
        <v>954</v>
      </c>
      <c r="B955" s="21" t="s">
        <v>128</v>
      </c>
      <c r="C955" s="21" t="s">
        <v>125</v>
      </c>
      <c r="D955" s="6" t="s">
        <v>74</v>
      </c>
      <c r="E955" s="6">
        <v>3804026</v>
      </c>
      <c r="F955" s="6" t="s">
        <v>32</v>
      </c>
      <c r="G955" s="6" t="s">
        <v>79</v>
      </c>
      <c r="H955" s="6" t="s">
        <v>41</v>
      </c>
      <c r="I955" s="23">
        <v>13884.18</v>
      </c>
      <c r="J955" s="23">
        <v>11897.29</v>
      </c>
      <c r="K955" s="23">
        <v>816</v>
      </c>
      <c r="L955" s="23"/>
      <c r="M955" s="23">
        <v>3714.8</v>
      </c>
      <c r="N955" s="47">
        <v>379.88</v>
      </c>
      <c r="O955" s="23">
        <f>+Table24[[#This Row],[FoodcostBlueline]]+Table24[[#This Row],[Pepsico]]</f>
        <v>4094.6800000000003</v>
      </c>
      <c r="P955" s="24">
        <f t="shared" si="36"/>
        <v>0.2949169486422677</v>
      </c>
      <c r="Q955" s="24"/>
      <c r="R955" s="23">
        <v>3654.88</v>
      </c>
      <c r="S955" s="25">
        <f t="shared" si="37"/>
        <v>0.26324060909610797</v>
      </c>
      <c r="T955" s="24"/>
      <c r="U955" s="36">
        <f>Table24[[#This Row],[WagesPercent]]+Table24[[#This Row],[FoodCostPercent]]</f>
        <v>0.55815755773837572</v>
      </c>
      <c r="V955" s="36"/>
    </row>
    <row r="956" spans="1:22" x14ac:dyDescent="0.25">
      <c r="A956" s="20">
        <v>955</v>
      </c>
      <c r="B956" s="21" t="s">
        <v>128</v>
      </c>
      <c r="C956" s="21" t="s">
        <v>125</v>
      </c>
      <c r="D956" s="6" t="s">
        <v>74</v>
      </c>
      <c r="E956" s="6">
        <v>3804027</v>
      </c>
      <c r="F956" s="6" t="s">
        <v>33</v>
      </c>
      <c r="G956" s="6" t="s">
        <v>43</v>
      </c>
      <c r="H956" s="6" t="s">
        <v>41</v>
      </c>
      <c r="I956" s="23">
        <v>18815.919999999998</v>
      </c>
      <c r="J956" s="23">
        <v>16348.73</v>
      </c>
      <c r="K956" s="23">
        <v>1276</v>
      </c>
      <c r="L956" s="23"/>
      <c r="M956" s="23">
        <f>5371.95-74.38</f>
        <v>5297.57</v>
      </c>
      <c r="N956" s="47">
        <v>282.89</v>
      </c>
      <c r="O956" s="23">
        <f>+Table24[[#This Row],[FoodcostBlueline]]+Table24[[#This Row],[Pepsico]]</f>
        <v>5580.46</v>
      </c>
      <c r="P956" s="24">
        <f t="shared" si="36"/>
        <v>0.29658183070506255</v>
      </c>
      <c r="Q956" s="24"/>
      <c r="R956" s="23">
        <f>1853.08+377+2452</f>
        <v>4682.08</v>
      </c>
      <c r="S956" s="25">
        <f t="shared" si="37"/>
        <v>0.24883609199018705</v>
      </c>
      <c r="T956" s="24"/>
      <c r="U956" s="36">
        <f>Table24[[#This Row],[WagesPercent]]+Table24[[#This Row],[FoodCostPercent]]</f>
        <v>0.54541792269524958</v>
      </c>
      <c r="V956" s="36"/>
    </row>
    <row r="957" spans="1:22" x14ac:dyDescent="0.25">
      <c r="A957" s="20">
        <v>956</v>
      </c>
      <c r="B957" s="21" t="s">
        <v>128</v>
      </c>
      <c r="C957" s="21" t="s">
        <v>125</v>
      </c>
      <c r="D957" s="6" t="s">
        <v>74</v>
      </c>
      <c r="E957" s="6">
        <v>3804029</v>
      </c>
      <c r="F957" s="6" t="s">
        <v>34</v>
      </c>
      <c r="G957" s="6" t="s">
        <v>43</v>
      </c>
      <c r="H957" s="6" t="s">
        <v>41</v>
      </c>
      <c r="I957" s="23">
        <v>8808.26</v>
      </c>
      <c r="J957" s="23">
        <v>10917.67</v>
      </c>
      <c r="K957" s="23">
        <v>556</v>
      </c>
      <c r="L957" s="23"/>
      <c r="M957" s="23">
        <v>2694.19</v>
      </c>
      <c r="N957" s="47">
        <v>0</v>
      </c>
      <c r="O957" s="23">
        <f>+Table24[[#This Row],[FoodcostBlueline]]+Table24[[#This Row],[Pepsico]]</f>
        <v>2694.19</v>
      </c>
      <c r="P957" s="24">
        <f t="shared" si="36"/>
        <v>0.30587085304021455</v>
      </c>
      <c r="Q957" s="24"/>
      <c r="R957" s="23">
        <f>1900.5+185</f>
        <v>2085.5</v>
      </c>
      <c r="S957" s="25">
        <f t="shared" si="37"/>
        <v>0.23676639881202416</v>
      </c>
      <c r="T957" s="24"/>
      <c r="U957" s="36">
        <f>Table24[[#This Row],[WagesPercent]]+Table24[[#This Row],[FoodCostPercent]]</f>
        <v>0.54263725185223866</v>
      </c>
      <c r="V957" s="36"/>
    </row>
    <row r="958" spans="1:22" x14ac:dyDescent="0.25">
      <c r="A958" s="20">
        <v>957</v>
      </c>
      <c r="B958" s="21" t="s">
        <v>128</v>
      </c>
      <c r="C958" s="21" t="s">
        <v>125</v>
      </c>
      <c r="D958" s="6" t="s">
        <v>74</v>
      </c>
      <c r="E958" s="6">
        <v>3804030</v>
      </c>
      <c r="F958" s="6" t="s">
        <v>35</v>
      </c>
      <c r="G958" s="6" t="s">
        <v>5</v>
      </c>
      <c r="H958" s="6" t="s">
        <v>40</v>
      </c>
      <c r="I958" s="23">
        <v>9957.7800000000007</v>
      </c>
      <c r="J958" s="23">
        <v>9154.31</v>
      </c>
      <c r="K958" s="23">
        <v>577</v>
      </c>
      <c r="L958" s="23"/>
      <c r="M958" s="23">
        <v>2664.71</v>
      </c>
      <c r="N958" s="47">
        <v>185.92</v>
      </c>
      <c r="O958" s="23">
        <f>+Table24[[#This Row],[FoodcostBlueline]]+Table24[[#This Row],[Pepsico]]</f>
        <v>2850.63</v>
      </c>
      <c r="P958" s="24">
        <f t="shared" si="36"/>
        <v>0.28627163885926382</v>
      </c>
      <c r="Q958" s="24"/>
      <c r="R958" s="23">
        <v>2313.3000000000002</v>
      </c>
      <c r="S958" s="25">
        <f t="shared" si="37"/>
        <v>0.23231081626627623</v>
      </c>
      <c r="T958" s="24"/>
      <c r="U958" s="36">
        <f>Table24[[#This Row],[WagesPercent]]+Table24[[#This Row],[FoodCostPercent]]</f>
        <v>0.51858245512554002</v>
      </c>
      <c r="V958" s="36"/>
    </row>
    <row r="959" spans="1:22" x14ac:dyDescent="0.25">
      <c r="A959" s="20">
        <v>958</v>
      </c>
      <c r="B959" s="21" t="s">
        <v>128</v>
      </c>
      <c r="C959" s="21" t="s">
        <v>125</v>
      </c>
      <c r="D959" s="6" t="s">
        <v>74</v>
      </c>
      <c r="E959" s="6">
        <v>3804031</v>
      </c>
      <c r="F959" s="6" t="s">
        <v>36</v>
      </c>
      <c r="G959" s="6" t="s">
        <v>5</v>
      </c>
      <c r="H959" s="6" t="s">
        <v>40</v>
      </c>
      <c r="I959" s="23">
        <v>9627.3799999999992</v>
      </c>
      <c r="J959" s="23">
        <v>9511.36</v>
      </c>
      <c r="K959" s="23">
        <v>570</v>
      </c>
      <c r="L959" s="23"/>
      <c r="M959" s="23">
        <v>2865.16</v>
      </c>
      <c r="N959" s="47">
        <v>248.95</v>
      </c>
      <c r="O959" s="23">
        <f>+Table24[[#This Row],[FoodcostBlueline]]+Table24[[#This Row],[Pepsico]]</f>
        <v>3114.1099999999997</v>
      </c>
      <c r="P959" s="24">
        <f t="shared" si="36"/>
        <v>0.32346391230012733</v>
      </c>
      <c r="Q959" s="24"/>
      <c r="R959" s="23">
        <f>2008.67+875</f>
        <v>2883.67</v>
      </c>
      <c r="S959" s="25">
        <f t="shared" si="37"/>
        <v>0.29952801281345498</v>
      </c>
      <c r="T959" s="24"/>
      <c r="U959" s="36">
        <f>Table24[[#This Row],[WagesPercent]]+Table24[[#This Row],[FoodCostPercent]]</f>
        <v>0.62299192511358226</v>
      </c>
      <c r="V959" s="36"/>
    </row>
    <row r="960" spans="1:22" x14ac:dyDescent="0.25">
      <c r="A960" s="20">
        <v>959</v>
      </c>
      <c r="B960" s="21" t="s">
        <v>128</v>
      </c>
      <c r="C960" s="21" t="s">
        <v>125</v>
      </c>
      <c r="D960" s="6" t="s">
        <v>74</v>
      </c>
      <c r="E960" s="6">
        <v>3804032</v>
      </c>
      <c r="F960" s="6" t="s">
        <v>37</v>
      </c>
      <c r="G960" s="6" t="s">
        <v>5</v>
      </c>
      <c r="H960" s="6" t="s">
        <v>40</v>
      </c>
      <c r="I960" s="23">
        <v>11828.3</v>
      </c>
      <c r="J960" s="23">
        <v>6742.02</v>
      </c>
      <c r="K960" s="23">
        <v>647</v>
      </c>
      <c r="L960" s="23"/>
      <c r="M960" s="23">
        <v>2510.87</v>
      </c>
      <c r="N960" s="47">
        <v>235.71</v>
      </c>
      <c r="O960" s="23">
        <f>+Table24[[#This Row],[FoodcostBlueline]]+Table24[[#This Row],[Pepsico]]</f>
        <v>2746.58</v>
      </c>
      <c r="P960" s="24">
        <f t="shared" si="36"/>
        <v>0.23220412062595641</v>
      </c>
      <c r="Q960" s="24"/>
      <c r="R960" s="23">
        <f>1350+850+750</f>
        <v>2950</v>
      </c>
      <c r="S960" s="25">
        <f t="shared" si="37"/>
        <v>0.24940185825520153</v>
      </c>
      <c r="T960" s="24"/>
      <c r="U960" s="36">
        <f>Table24[[#This Row],[WagesPercent]]+Table24[[#This Row],[FoodCostPercent]]</f>
        <v>0.48160597888115797</v>
      </c>
      <c r="V960" s="36"/>
    </row>
    <row r="961" spans="1:22" x14ac:dyDescent="0.25">
      <c r="A961" s="20">
        <v>960</v>
      </c>
      <c r="B961" s="21" t="s">
        <v>128</v>
      </c>
      <c r="C961" s="21" t="s">
        <v>125</v>
      </c>
      <c r="D961" s="6" t="s">
        <v>74</v>
      </c>
      <c r="E961" s="6">
        <v>3804033</v>
      </c>
      <c r="F961" s="6" t="s">
        <v>38</v>
      </c>
      <c r="G961" s="6" t="s">
        <v>5</v>
      </c>
      <c r="H961" s="6" t="s">
        <v>40</v>
      </c>
      <c r="I961" s="23">
        <v>8940.18</v>
      </c>
      <c r="J961" s="23">
        <v>7654.68</v>
      </c>
      <c r="K961" s="23">
        <v>670</v>
      </c>
      <c r="L961" s="23"/>
      <c r="M961" s="37">
        <v>1928.55</v>
      </c>
      <c r="N961" s="47">
        <v>388.81</v>
      </c>
      <c r="O961" s="23">
        <f>+Table24[[#This Row],[FoodcostBlueline]]+Table24[[#This Row],[Pepsico]]</f>
        <v>2317.36</v>
      </c>
      <c r="P961" s="24">
        <f t="shared" si="36"/>
        <v>0.25920730902509792</v>
      </c>
      <c r="Q961" s="24"/>
      <c r="R961" s="23">
        <f>1319.6+650+165</f>
        <v>2134.6</v>
      </c>
      <c r="S961" s="25">
        <f t="shared" si="37"/>
        <v>0.23876476759975748</v>
      </c>
      <c r="T961" s="24"/>
      <c r="U961" s="36">
        <f>Table24[[#This Row],[WagesPercent]]+Table24[[#This Row],[FoodCostPercent]]</f>
        <v>0.49797207662485543</v>
      </c>
      <c r="V961" s="36"/>
    </row>
    <row r="962" spans="1:22" x14ac:dyDescent="0.25">
      <c r="A962" s="20">
        <v>961</v>
      </c>
      <c r="B962" s="21" t="s">
        <v>128</v>
      </c>
      <c r="C962" s="21" t="s">
        <v>125</v>
      </c>
      <c r="D962" s="6" t="s">
        <v>74</v>
      </c>
      <c r="E962" s="6">
        <v>3804034</v>
      </c>
      <c r="F962" s="6" t="s">
        <v>53</v>
      </c>
      <c r="G962" s="6" t="s">
        <v>122</v>
      </c>
      <c r="H962" s="6" t="s">
        <v>41</v>
      </c>
      <c r="I962" s="23">
        <v>9203.9500000000007</v>
      </c>
      <c r="J962" s="23">
        <v>10164.11</v>
      </c>
      <c r="K962" s="23">
        <v>509</v>
      </c>
      <c r="L962" s="23"/>
      <c r="M962" s="23">
        <v>2116.0100000000002</v>
      </c>
      <c r="N962" s="47">
        <v>275.99</v>
      </c>
      <c r="O962" s="23">
        <f>+Table24[[#This Row],[FoodcostBlueline]]+Table24[[#This Row],[Pepsico]]</f>
        <v>2392</v>
      </c>
      <c r="P962" s="24">
        <f t="shared" ref="P962:P1001" si="38">IFERROR(((M962+N962)/I962),0)</f>
        <v>0.25988841747293279</v>
      </c>
      <c r="Q962" s="24"/>
      <c r="R962" s="23">
        <f>1494.48+2400</f>
        <v>3894.48</v>
      </c>
      <c r="S962" s="25">
        <f t="shared" ref="S962:S1000" si="39">+R962/I962</f>
        <v>0.42313137294313852</v>
      </c>
      <c r="T962" s="24"/>
      <c r="U962" s="36">
        <f>Table24[[#This Row],[WagesPercent]]+Table24[[#This Row],[FoodCostPercent]]</f>
        <v>0.6830197904160713</v>
      </c>
      <c r="V962" s="36"/>
    </row>
    <row r="963" spans="1:22" x14ac:dyDescent="0.25">
      <c r="A963" s="20">
        <v>962</v>
      </c>
      <c r="B963" s="21"/>
      <c r="C963" s="21"/>
      <c r="D963" s="6"/>
      <c r="E963" s="6"/>
      <c r="F963" s="6"/>
      <c r="G963" s="6"/>
      <c r="H963" s="6"/>
      <c r="I963" s="23"/>
      <c r="J963" s="23"/>
      <c r="K963" s="23"/>
      <c r="L963" s="23"/>
      <c r="M963" s="23"/>
      <c r="N963" s="23"/>
      <c r="O963" s="23">
        <f>+Table24[[#This Row],[FoodcostBlueline]]+Table24[[#This Row],[Pepsico]]</f>
        <v>0</v>
      </c>
      <c r="P963" s="24">
        <f t="shared" si="38"/>
        <v>0</v>
      </c>
      <c r="Q963" s="24"/>
      <c r="R963" s="23"/>
      <c r="S963" s="25" t="e">
        <f t="shared" si="39"/>
        <v>#DIV/0!</v>
      </c>
      <c r="T963" s="24"/>
      <c r="U963" s="36" t="e">
        <f>Table24[[#This Row],[WagesPercent]]+Table24[[#This Row],[FoodCostPercent]]</f>
        <v>#DIV/0!</v>
      </c>
      <c r="V963" s="36"/>
    </row>
    <row r="964" spans="1:22" x14ac:dyDescent="0.25">
      <c r="A964" s="20">
        <v>963</v>
      </c>
      <c r="B964" s="21"/>
      <c r="C964" s="21"/>
      <c r="D964" s="6"/>
      <c r="E964" s="6"/>
      <c r="F964" s="6"/>
      <c r="G964" s="6"/>
      <c r="H964" s="6"/>
      <c r="I964" s="23"/>
      <c r="J964" s="23"/>
      <c r="K964" s="23"/>
      <c r="L964" s="23"/>
      <c r="M964" s="23"/>
      <c r="N964" s="23"/>
      <c r="O964" s="23">
        <f>+Table24[[#This Row],[FoodcostBlueline]]+Table24[[#This Row],[Pepsico]]</f>
        <v>0</v>
      </c>
      <c r="P964" s="24">
        <f t="shared" si="38"/>
        <v>0</v>
      </c>
      <c r="Q964" s="24"/>
      <c r="R964" s="23"/>
      <c r="S964" s="25" t="e">
        <f t="shared" si="39"/>
        <v>#DIV/0!</v>
      </c>
      <c r="T964" s="24"/>
      <c r="U964" s="36" t="e">
        <f>Table24[[#This Row],[WagesPercent]]+Table24[[#This Row],[FoodCostPercent]]</f>
        <v>#DIV/0!</v>
      </c>
      <c r="V964" s="36"/>
    </row>
    <row r="965" spans="1:22" x14ac:dyDescent="0.25">
      <c r="A965" s="20">
        <v>964</v>
      </c>
      <c r="B965" s="21"/>
      <c r="C965" s="21"/>
      <c r="D965" s="6"/>
      <c r="E965" s="6"/>
      <c r="F965" s="6"/>
      <c r="G965" s="6"/>
      <c r="H965" s="6"/>
      <c r="I965" s="23"/>
      <c r="J965" s="23"/>
      <c r="K965" s="23"/>
      <c r="L965" s="23"/>
      <c r="M965" s="23"/>
      <c r="N965" s="23"/>
      <c r="O965" s="23">
        <f>+Table24[[#This Row],[FoodcostBlueline]]+Table24[[#This Row],[Pepsico]]</f>
        <v>0</v>
      </c>
      <c r="P965" s="24">
        <f t="shared" si="38"/>
        <v>0</v>
      </c>
      <c r="Q965" s="24"/>
      <c r="R965" s="23"/>
      <c r="S965" s="25" t="e">
        <f t="shared" si="39"/>
        <v>#DIV/0!</v>
      </c>
      <c r="T965" s="24"/>
      <c r="U965" s="36" t="e">
        <f>Table24[[#This Row],[WagesPercent]]+Table24[[#This Row],[FoodCostPercent]]</f>
        <v>#DIV/0!</v>
      </c>
      <c r="V965" s="36"/>
    </row>
    <row r="966" spans="1:22" x14ac:dyDescent="0.25">
      <c r="A966" s="20">
        <v>965</v>
      </c>
      <c r="B966" s="21"/>
      <c r="C966" s="21"/>
      <c r="D966" s="6"/>
      <c r="E966" s="6"/>
      <c r="F966" s="6"/>
      <c r="G966" s="6"/>
      <c r="H966" s="6"/>
      <c r="I966" s="23"/>
      <c r="J966" s="23"/>
      <c r="K966" s="23"/>
      <c r="L966" s="23"/>
      <c r="M966" s="23"/>
      <c r="N966" s="23"/>
      <c r="O966" s="23">
        <f>+Table24[[#This Row],[FoodcostBlueline]]+Table24[[#This Row],[Pepsico]]</f>
        <v>0</v>
      </c>
      <c r="P966" s="24">
        <f t="shared" si="38"/>
        <v>0</v>
      </c>
      <c r="Q966" s="24"/>
      <c r="R966" s="23"/>
      <c r="S966" s="25" t="e">
        <f t="shared" si="39"/>
        <v>#DIV/0!</v>
      </c>
      <c r="T966" s="24"/>
      <c r="U966" s="36" t="e">
        <f>Table24[[#This Row],[WagesPercent]]+Table24[[#This Row],[FoodCostPercent]]</f>
        <v>#DIV/0!</v>
      </c>
      <c r="V966" s="36"/>
    </row>
    <row r="967" spans="1:22" x14ac:dyDescent="0.25">
      <c r="A967" s="20">
        <v>966</v>
      </c>
      <c r="B967" s="21"/>
      <c r="C967" s="21"/>
      <c r="D967" s="6"/>
      <c r="E967" s="6"/>
      <c r="F967" s="6"/>
      <c r="G967" s="6"/>
      <c r="H967" s="6"/>
      <c r="I967" s="23"/>
      <c r="J967" s="23"/>
      <c r="K967" s="23"/>
      <c r="L967" s="23"/>
      <c r="M967" s="23"/>
      <c r="N967" s="23"/>
      <c r="O967" s="23">
        <f>+Table24[[#This Row],[FoodcostBlueline]]+Table24[[#This Row],[Pepsico]]</f>
        <v>0</v>
      </c>
      <c r="P967" s="24">
        <f t="shared" si="38"/>
        <v>0</v>
      </c>
      <c r="Q967" s="24"/>
      <c r="R967" s="23"/>
      <c r="S967" s="25" t="e">
        <f t="shared" si="39"/>
        <v>#DIV/0!</v>
      </c>
      <c r="T967" s="24"/>
      <c r="U967" s="36" t="e">
        <f>Table24[[#This Row],[WagesPercent]]+Table24[[#This Row],[FoodCostPercent]]</f>
        <v>#DIV/0!</v>
      </c>
      <c r="V967" s="36"/>
    </row>
    <row r="968" spans="1:22" x14ac:dyDescent="0.25">
      <c r="A968" s="20">
        <v>967</v>
      </c>
      <c r="B968" s="21"/>
      <c r="C968" s="21"/>
      <c r="D968" s="6"/>
      <c r="E968" s="6"/>
      <c r="F968" s="6"/>
      <c r="G968" s="6"/>
      <c r="H968" s="6"/>
      <c r="I968" s="23"/>
      <c r="J968" s="23"/>
      <c r="K968" s="23"/>
      <c r="L968" s="23"/>
      <c r="M968" s="23"/>
      <c r="N968" s="23"/>
      <c r="O968" s="23">
        <f>+Table24[[#This Row],[FoodcostBlueline]]+Table24[[#This Row],[Pepsico]]</f>
        <v>0</v>
      </c>
      <c r="P968" s="24">
        <f t="shared" si="38"/>
        <v>0</v>
      </c>
      <c r="Q968" s="24"/>
      <c r="R968" s="23"/>
      <c r="S968" s="25" t="e">
        <f t="shared" si="39"/>
        <v>#DIV/0!</v>
      </c>
      <c r="T968" s="24"/>
      <c r="U968" s="36" t="e">
        <f>Table24[[#This Row],[WagesPercent]]+Table24[[#This Row],[FoodCostPercent]]</f>
        <v>#DIV/0!</v>
      </c>
      <c r="V968" s="36"/>
    </row>
    <row r="969" spans="1:22" x14ac:dyDescent="0.25">
      <c r="A969" s="20">
        <v>968</v>
      </c>
      <c r="B969" s="21"/>
      <c r="C969" s="21"/>
      <c r="D969" s="6"/>
      <c r="E969" s="6"/>
      <c r="F969" s="6"/>
      <c r="G969" s="6"/>
      <c r="H969" s="6"/>
      <c r="I969" s="23"/>
      <c r="J969" s="23"/>
      <c r="K969" s="23"/>
      <c r="L969" s="23"/>
      <c r="M969" s="37"/>
      <c r="N969" s="23"/>
      <c r="O969" s="23">
        <f>+Table24[[#This Row],[FoodcostBlueline]]+Table24[[#This Row],[Pepsico]]</f>
        <v>0</v>
      </c>
      <c r="P969" s="24">
        <f t="shared" si="38"/>
        <v>0</v>
      </c>
      <c r="Q969" s="24"/>
      <c r="R969" s="23"/>
      <c r="S969" s="25" t="e">
        <f t="shared" si="39"/>
        <v>#DIV/0!</v>
      </c>
      <c r="T969" s="24"/>
      <c r="U969" s="36" t="e">
        <f>Table24[[#This Row],[WagesPercent]]+Table24[[#This Row],[FoodCostPercent]]</f>
        <v>#DIV/0!</v>
      </c>
      <c r="V969" s="36"/>
    </row>
    <row r="970" spans="1:22" x14ac:dyDescent="0.25">
      <c r="A970" s="20">
        <v>969</v>
      </c>
      <c r="B970" s="21"/>
      <c r="C970" s="21"/>
      <c r="D970" s="6"/>
      <c r="E970" s="6"/>
      <c r="F970" s="6"/>
      <c r="G970" s="6"/>
      <c r="H970" s="6"/>
      <c r="I970" s="23"/>
      <c r="J970" s="23"/>
      <c r="K970" s="23"/>
      <c r="L970" s="23"/>
      <c r="M970" s="23"/>
      <c r="N970" s="23"/>
      <c r="O970" s="23">
        <f>+Table24[[#This Row],[FoodcostBlueline]]+Table24[[#This Row],[Pepsico]]</f>
        <v>0</v>
      </c>
      <c r="P970" s="24">
        <f t="shared" si="38"/>
        <v>0</v>
      </c>
      <c r="Q970" s="24"/>
      <c r="R970" s="23"/>
      <c r="S970" s="25" t="e">
        <f t="shared" si="39"/>
        <v>#DIV/0!</v>
      </c>
      <c r="T970" s="24"/>
      <c r="U970" s="36" t="e">
        <f>Table24[[#This Row],[WagesPercent]]+Table24[[#This Row],[FoodCostPercent]]</f>
        <v>#DIV/0!</v>
      </c>
      <c r="V970" s="36"/>
    </row>
    <row r="971" spans="1:22" x14ac:dyDescent="0.25">
      <c r="A971" s="20">
        <v>970</v>
      </c>
      <c r="B971" s="21"/>
      <c r="C971" s="21"/>
      <c r="D971" s="6"/>
      <c r="E971" s="6"/>
      <c r="F971" s="6"/>
      <c r="G971" s="6"/>
      <c r="H971" s="6"/>
      <c r="I971" s="23"/>
      <c r="J971" s="23"/>
      <c r="K971" s="23"/>
      <c r="L971" s="23"/>
      <c r="M971" s="23"/>
      <c r="N971" s="23"/>
      <c r="O971" s="23">
        <f>+Table24[[#This Row],[FoodcostBlueline]]+Table24[[#This Row],[Pepsico]]</f>
        <v>0</v>
      </c>
      <c r="P971" s="24">
        <f t="shared" si="38"/>
        <v>0</v>
      </c>
      <c r="Q971" s="24"/>
      <c r="R971" s="23"/>
      <c r="S971" s="25" t="e">
        <f t="shared" si="39"/>
        <v>#DIV/0!</v>
      </c>
      <c r="T971" s="24"/>
      <c r="U971" s="36" t="e">
        <f>Table24[[#This Row],[WagesPercent]]+Table24[[#This Row],[FoodCostPercent]]</f>
        <v>#DIV/0!</v>
      </c>
      <c r="V971" s="36"/>
    </row>
    <row r="972" spans="1:22" x14ac:dyDescent="0.25">
      <c r="A972" s="20">
        <v>971</v>
      </c>
      <c r="B972" s="21"/>
      <c r="C972" s="21"/>
      <c r="D972" s="6"/>
      <c r="E972" s="6"/>
      <c r="F972" s="6"/>
      <c r="G972" s="6"/>
      <c r="H972" s="6"/>
      <c r="I972" s="23"/>
      <c r="J972" s="23"/>
      <c r="K972" s="23"/>
      <c r="L972" s="23"/>
      <c r="M972" s="23"/>
      <c r="N972" s="23"/>
      <c r="O972" s="23">
        <f>+Table24[[#This Row],[FoodcostBlueline]]+Table24[[#This Row],[Pepsico]]</f>
        <v>0</v>
      </c>
      <c r="P972" s="24">
        <f t="shared" si="38"/>
        <v>0</v>
      </c>
      <c r="Q972" s="24"/>
      <c r="R972" s="23"/>
      <c r="S972" s="25" t="e">
        <f t="shared" si="39"/>
        <v>#DIV/0!</v>
      </c>
      <c r="T972" s="24"/>
      <c r="U972" s="36" t="e">
        <f>Table24[[#This Row],[WagesPercent]]+Table24[[#This Row],[FoodCostPercent]]</f>
        <v>#DIV/0!</v>
      </c>
      <c r="V972" s="36"/>
    </row>
    <row r="973" spans="1:22" x14ac:dyDescent="0.25">
      <c r="A973" s="20">
        <v>972</v>
      </c>
      <c r="B973" s="21"/>
      <c r="C973" s="21"/>
      <c r="D973" s="6"/>
      <c r="E973" s="6"/>
      <c r="F973" s="6"/>
      <c r="G973" s="6"/>
      <c r="H973" s="6"/>
      <c r="I973" s="23"/>
      <c r="J973" s="23"/>
      <c r="K973" s="23"/>
      <c r="L973" s="23"/>
      <c r="M973" s="23"/>
      <c r="N973" s="23"/>
      <c r="O973" s="23">
        <f>+Table24[[#This Row],[FoodcostBlueline]]+Table24[[#This Row],[Pepsico]]</f>
        <v>0</v>
      </c>
      <c r="P973" s="24">
        <f t="shared" si="38"/>
        <v>0</v>
      </c>
      <c r="Q973" s="24"/>
      <c r="R973" s="23"/>
      <c r="S973" s="25" t="e">
        <f t="shared" si="39"/>
        <v>#DIV/0!</v>
      </c>
      <c r="T973" s="24"/>
      <c r="U973" s="36" t="e">
        <f>Table24[[#This Row],[WagesPercent]]+Table24[[#This Row],[FoodCostPercent]]</f>
        <v>#DIV/0!</v>
      </c>
      <c r="V973" s="36"/>
    </row>
    <row r="974" spans="1:22" x14ac:dyDescent="0.25">
      <c r="A974" s="20">
        <v>973</v>
      </c>
      <c r="B974" s="21"/>
      <c r="C974" s="21"/>
      <c r="D974" s="6"/>
      <c r="E974" s="6"/>
      <c r="F974" s="6"/>
      <c r="G974" s="6"/>
      <c r="H974" s="6"/>
      <c r="I974" s="23"/>
      <c r="J974" s="23"/>
      <c r="K974" s="23"/>
      <c r="L974" s="23"/>
      <c r="M974" s="23"/>
      <c r="N974" s="23"/>
      <c r="O974" s="23">
        <f>+Table24[[#This Row],[FoodcostBlueline]]+Table24[[#This Row],[Pepsico]]</f>
        <v>0</v>
      </c>
      <c r="P974" s="24">
        <f t="shared" si="38"/>
        <v>0</v>
      </c>
      <c r="Q974" s="24"/>
      <c r="R974" s="23"/>
      <c r="S974" s="25" t="e">
        <f t="shared" si="39"/>
        <v>#DIV/0!</v>
      </c>
      <c r="T974" s="24"/>
      <c r="U974" s="36" t="e">
        <f>Table24[[#This Row],[WagesPercent]]+Table24[[#This Row],[FoodCostPercent]]</f>
        <v>#DIV/0!</v>
      </c>
      <c r="V974" s="36"/>
    </row>
    <row r="975" spans="1:22" x14ac:dyDescent="0.25">
      <c r="A975" s="20">
        <v>974</v>
      </c>
      <c r="B975" s="21"/>
      <c r="C975" s="21"/>
      <c r="D975" s="6"/>
      <c r="E975" s="6"/>
      <c r="F975" s="6"/>
      <c r="G975" s="6"/>
      <c r="H975" s="6"/>
      <c r="I975" s="23"/>
      <c r="J975" s="23"/>
      <c r="K975" s="23"/>
      <c r="L975" s="23"/>
      <c r="M975" s="23"/>
      <c r="N975" s="23"/>
      <c r="O975" s="23">
        <f>+Table24[[#This Row],[FoodcostBlueline]]+Table24[[#This Row],[Pepsico]]</f>
        <v>0</v>
      </c>
      <c r="P975" s="24">
        <f t="shared" si="38"/>
        <v>0</v>
      </c>
      <c r="Q975" s="24"/>
      <c r="R975" s="23"/>
      <c r="S975" s="25" t="e">
        <f t="shared" si="39"/>
        <v>#DIV/0!</v>
      </c>
      <c r="T975" s="24"/>
      <c r="U975" s="36" t="e">
        <f>Table24[[#This Row],[WagesPercent]]+Table24[[#This Row],[FoodCostPercent]]</f>
        <v>#DIV/0!</v>
      </c>
      <c r="V975" s="36"/>
    </row>
    <row r="976" spans="1:22" x14ac:dyDescent="0.25">
      <c r="A976" s="20">
        <v>975</v>
      </c>
      <c r="B976" s="21"/>
      <c r="C976" s="21"/>
      <c r="D976" s="6"/>
      <c r="E976" s="6"/>
      <c r="F976" s="6"/>
      <c r="G976" s="6"/>
      <c r="H976" s="6"/>
      <c r="I976" s="23"/>
      <c r="J976" s="23"/>
      <c r="K976" s="23"/>
      <c r="L976" s="23"/>
      <c r="M976" s="23"/>
      <c r="N976" s="23"/>
      <c r="O976" s="23">
        <f>+Table24[[#This Row],[FoodcostBlueline]]+Table24[[#This Row],[Pepsico]]</f>
        <v>0</v>
      </c>
      <c r="P976" s="24">
        <f t="shared" si="38"/>
        <v>0</v>
      </c>
      <c r="Q976" s="24"/>
      <c r="R976" s="23"/>
      <c r="S976" s="25" t="e">
        <f t="shared" si="39"/>
        <v>#DIV/0!</v>
      </c>
      <c r="T976" s="24"/>
      <c r="U976" s="36" t="e">
        <f>Table24[[#This Row],[WagesPercent]]+Table24[[#This Row],[FoodCostPercent]]</f>
        <v>#DIV/0!</v>
      </c>
      <c r="V976" s="36"/>
    </row>
    <row r="977" spans="1:22" x14ac:dyDescent="0.25">
      <c r="A977" s="20">
        <v>976</v>
      </c>
      <c r="B977" s="21"/>
      <c r="C977" s="21"/>
      <c r="D977" s="6"/>
      <c r="E977" s="6"/>
      <c r="F977" s="6"/>
      <c r="G977" s="6"/>
      <c r="H977" s="6"/>
      <c r="I977" s="23"/>
      <c r="J977" s="23"/>
      <c r="K977" s="23"/>
      <c r="L977" s="23"/>
      <c r="M977" s="23"/>
      <c r="N977" s="23"/>
      <c r="O977" s="23">
        <f>+Table24[[#This Row],[FoodcostBlueline]]+Table24[[#This Row],[Pepsico]]</f>
        <v>0</v>
      </c>
      <c r="P977" s="24">
        <f t="shared" si="38"/>
        <v>0</v>
      </c>
      <c r="Q977" s="24"/>
      <c r="R977" s="23"/>
      <c r="S977" s="25" t="e">
        <f t="shared" si="39"/>
        <v>#DIV/0!</v>
      </c>
      <c r="T977" s="24"/>
      <c r="U977" s="36" t="e">
        <f>Table24[[#This Row],[WagesPercent]]+Table24[[#This Row],[FoodCostPercent]]</f>
        <v>#DIV/0!</v>
      </c>
      <c r="V977" s="36"/>
    </row>
    <row r="978" spans="1:22" x14ac:dyDescent="0.25">
      <c r="A978" s="20">
        <v>977</v>
      </c>
      <c r="B978" s="21"/>
      <c r="C978" s="21"/>
      <c r="D978" s="6"/>
      <c r="E978" s="6"/>
      <c r="F978" s="6"/>
      <c r="G978" s="6"/>
      <c r="H978" s="6"/>
      <c r="I978" s="23"/>
      <c r="J978" s="23"/>
      <c r="K978" s="23"/>
      <c r="L978" s="23"/>
      <c r="M978" s="23"/>
      <c r="N978" s="23"/>
      <c r="O978" s="23">
        <f>+Table24[[#This Row],[FoodcostBlueline]]+Table24[[#This Row],[Pepsico]]</f>
        <v>0</v>
      </c>
      <c r="P978" s="24">
        <f t="shared" si="38"/>
        <v>0</v>
      </c>
      <c r="Q978" s="24"/>
      <c r="R978" s="23"/>
      <c r="S978" s="25" t="e">
        <f t="shared" si="39"/>
        <v>#DIV/0!</v>
      </c>
      <c r="T978" s="24"/>
      <c r="U978" s="36" t="e">
        <f>Table24[[#This Row],[WagesPercent]]+Table24[[#This Row],[FoodCostPercent]]</f>
        <v>#DIV/0!</v>
      </c>
      <c r="V978" s="36"/>
    </row>
    <row r="979" spans="1:22" x14ac:dyDescent="0.25">
      <c r="A979" s="20">
        <v>978</v>
      </c>
      <c r="B979" s="21"/>
      <c r="C979" s="21"/>
      <c r="D979" s="6"/>
      <c r="E979" s="6"/>
      <c r="F979" s="6"/>
      <c r="G979" s="6"/>
      <c r="H979" s="6"/>
      <c r="I979" s="23"/>
      <c r="J979" s="23"/>
      <c r="K979" s="23"/>
      <c r="L979" s="23"/>
      <c r="M979" s="23"/>
      <c r="N979" s="23"/>
      <c r="O979" s="23">
        <f>+Table24[[#This Row],[FoodcostBlueline]]+Table24[[#This Row],[Pepsico]]</f>
        <v>0</v>
      </c>
      <c r="P979" s="24">
        <f t="shared" si="38"/>
        <v>0</v>
      </c>
      <c r="Q979" s="24"/>
      <c r="R979" s="23"/>
      <c r="S979" s="25" t="e">
        <f t="shared" si="39"/>
        <v>#DIV/0!</v>
      </c>
      <c r="T979" s="24"/>
      <c r="U979" s="36" t="e">
        <f>Table24[[#This Row],[WagesPercent]]+Table24[[#This Row],[FoodCostPercent]]</f>
        <v>#DIV/0!</v>
      </c>
      <c r="V979" s="36"/>
    </row>
    <row r="980" spans="1:22" x14ac:dyDescent="0.25">
      <c r="A980" s="20">
        <v>979</v>
      </c>
      <c r="B980" s="21"/>
      <c r="C980" s="21"/>
      <c r="D980" s="6"/>
      <c r="E980" s="6"/>
      <c r="F980" s="6"/>
      <c r="G980" s="6"/>
      <c r="H980" s="6"/>
      <c r="I980" s="23"/>
      <c r="J980" s="23"/>
      <c r="K980" s="23"/>
      <c r="L980" s="23"/>
      <c r="M980" s="23"/>
      <c r="N980" s="23"/>
      <c r="O980" s="23">
        <f>+Table24[[#This Row],[FoodcostBlueline]]+Table24[[#This Row],[Pepsico]]</f>
        <v>0</v>
      </c>
      <c r="P980" s="24">
        <f t="shared" si="38"/>
        <v>0</v>
      </c>
      <c r="Q980" s="24"/>
      <c r="R980" s="23"/>
      <c r="S980" s="25" t="e">
        <f t="shared" si="39"/>
        <v>#DIV/0!</v>
      </c>
      <c r="T980" s="24"/>
      <c r="U980" s="36" t="e">
        <f>Table24[[#This Row],[WagesPercent]]+Table24[[#This Row],[FoodCostPercent]]</f>
        <v>#DIV/0!</v>
      </c>
      <c r="V980" s="36"/>
    </row>
    <row r="981" spans="1:22" x14ac:dyDescent="0.25">
      <c r="A981" s="20">
        <v>980</v>
      </c>
      <c r="B981" s="21"/>
      <c r="C981" s="21"/>
      <c r="D981" s="6"/>
      <c r="E981" s="6"/>
      <c r="F981" s="6"/>
      <c r="G981" s="6"/>
      <c r="H981" s="6"/>
      <c r="I981" s="23"/>
      <c r="J981" s="23"/>
      <c r="K981" s="23"/>
      <c r="L981" s="23"/>
      <c r="M981" s="23"/>
      <c r="N981" s="23"/>
      <c r="O981" s="23">
        <f>+Table24[[#This Row],[FoodcostBlueline]]+Table24[[#This Row],[Pepsico]]</f>
        <v>0</v>
      </c>
      <c r="P981" s="24">
        <f t="shared" si="38"/>
        <v>0</v>
      </c>
      <c r="Q981" s="24"/>
      <c r="R981" s="23"/>
      <c r="S981" s="25" t="e">
        <f t="shared" si="39"/>
        <v>#DIV/0!</v>
      </c>
      <c r="T981" s="24"/>
      <c r="U981" s="36" t="e">
        <f>Table24[[#This Row],[WagesPercent]]+Table24[[#This Row],[FoodCostPercent]]</f>
        <v>#DIV/0!</v>
      </c>
      <c r="V981" s="36"/>
    </row>
    <row r="982" spans="1:22" x14ac:dyDescent="0.25">
      <c r="A982" s="20">
        <v>981</v>
      </c>
      <c r="B982" s="21"/>
      <c r="C982" s="21"/>
      <c r="D982" s="6"/>
      <c r="E982" s="6"/>
      <c r="F982" s="6"/>
      <c r="G982" s="6"/>
      <c r="H982" s="6"/>
      <c r="I982" s="23"/>
      <c r="J982" s="23"/>
      <c r="K982" s="23"/>
      <c r="L982" s="23"/>
      <c r="M982" s="23"/>
      <c r="N982" s="23"/>
      <c r="O982" s="23">
        <f>+Table24[[#This Row],[FoodcostBlueline]]+Table24[[#This Row],[Pepsico]]</f>
        <v>0</v>
      </c>
      <c r="P982" s="24">
        <f t="shared" si="38"/>
        <v>0</v>
      </c>
      <c r="Q982" s="24"/>
      <c r="R982" s="23"/>
      <c r="S982" s="25" t="e">
        <f t="shared" si="39"/>
        <v>#DIV/0!</v>
      </c>
      <c r="T982" s="24"/>
      <c r="U982" s="36" t="e">
        <f>Table24[[#This Row],[WagesPercent]]+Table24[[#This Row],[FoodCostPercent]]</f>
        <v>#DIV/0!</v>
      </c>
      <c r="V982" s="36"/>
    </row>
    <row r="983" spans="1:22" x14ac:dyDescent="0.25">
      <c r="A983" s="20">
        <v>982</v>
      </c>
      <c r="B983" s="21"/>
      <c r="C983" s="21"/>
      <c r="D983" s="6"/>
      <c r="E983" s="6"/>
      <c r="F983" s="6"/>
      <c r="G983" s="6"/>
      <c r="H983" s="6"/>
      <c r="I983" s="23"/>
      <c r="J983" s="23"/>
      <c r="K983" s="23"/>
      <c r="L983" s="23"/>
      <c r="M983" s="23"/>
      <c r="N983" s="23"/>
      <c r="O983" s="23">
        <f>+Table24[[#This Row],[FoodcostBlueline]]+Table24[[#This Row],[Pepsico]]</f>
        <v>0</v>
      </c>
      <c r="P983" s="24">
        <f t="shared" si="38"/>
        <v>0</v>
      </c>
      <c r="Q983" s="24"/>
      <c r="R983" s="23"/>
      <c r="S983" s="25" t="e">
        <f t="shared" si="39"/>
        <v>#DIV/0!</v>
      </c>
      <c r="T983" s="24"/>
      <c r="U983" s="36" t="e">
        <f>Table24[[#This Row],[WagesPercent]]+Table24[[#This Row],[FoodCostPercent]]</f>
        <v>#DIV/0!</v>
      </c>
      <c r="V983" s="36"/>
    </row>
    <row r="984" spans="1:22" x14ac:dyDescent="0.25">
      <c r="A984" s="20">
        <v>983</v>
      </c>
      <c r="B984" s="21"/>
      <c r="C984" s="21"/>
      <c r="D984" s="6"/>
      <c r="E984" s="6"/>
      <c r="F984" s="6"/>
      <c r="G984" s="6"/>
      <c r="H984" s="6"/>
      <c r="I984" s="23"/>
      <c r="J984" s="23"/>
      <c r="K984" s="23"/>
      <c r="L984" s="23"/>
      <c r="M984" s="23"/>
      <c r="N984" s="23"/>
      <c r="O984" s="23">
        <f>+Table24[[#This Row],[FoodcostBlueline]]+Table24[[#This Row],[Pepsico]]</f>
        <v>0</v>
      </c>
      <c r="P984" s="24">
        <f t="shared" si="38"/>
        <v>0</v>
      </c>
      <c r="Q984" s="24"/>
      <c r="R984" s="23"/>
      <c r="S984" s="25" t="e">
        <f t="shared" si="39"/>
        <v>#DIV/0!</v>
      </c>
      <c r="T984" s="24"/>
      <c r="U984" s="36" t="e">
        <f>Table24[[#This Row],[WagesPercent]]+Table24[[#This Row],[FoodCostPercent]]</f>
        <v>#DIV/0!</v>
      </c>
      <c r="V984" s="36"/>
    </row>
    <row r="985" spans="1:22" x14ac:dyDescent="0.25">
      <c r="A985" s="20">
        <v>984</v>
      </c>
      <c r="B985" s="21"/>
      <c r="C985" s="21"/>
      <c r="D985" s="6"/>
      <c r="E985" s="6"/>
      <c r="F985" s="6"/>
      <c r="G985" s="6"/>
      <c r="H985" s="6"/>
      <c r="I985" s="23"/>
      <c r="J985" s="23"/>
      <c r="K985" s="23"/>
      <c r="L985" s="23"/>
      <c r="M985" s="23"/>
      <c r="N985" s="23"/>
      <c r="O985" s="23">
        <f>+Table24[[#This Row],[FoodcostBlueline]]+Table24[[#This Row],[Pepsico]]</f>
        <v>0</v>
      </c>
      <c r="P985" s="24">
        <f t="shared" si="38"/>
        <v>0</v>
      </c>
      <c r="Q985" s="24"/>
      <c r="R985" s="23"/>
      <c r="S985" s="25" t="e">
        <f t="shared" si="39"/>
        <v>#DIV/0!</v>
      </c>
      <c r="T985" s="24"/>
      <c r="U985" s="36" t="e">
        <f>Table24[[#This Row],[WagesPercent]]+Table24[[#This Row],[FoodCostPercent]]</f>
        <v>#DIV/0!</v>
      </c>
      <c r="V985" s="36"/>
    </row>
    <row r="986" spans="1:22" x14ac:dyDescent="0.25">
      <c r="A986" s="20">
        <v>985</v>
      </c>
      <c r="B986" s="21"/>
      <c r="C986" s="21"/>
      <c r="D986" s="6"/>
      <c r="E986" s="6"/>
      <c r="F986" s="6"/>
      <c r="G986" s="6"/>
      <c r="H986" s="6"/>
      <c r="I986" s="23"/>
      <c r="J986" s="23"/>
      <c r="K986" s="23"/>
      <c r="L986" s="23"/>
      <c r="M986" s="23"/>
      <c r="N986" s="23"/>
      <c r="O986" s="23">
        <f>+Table24[[#This Row],[FoodcostBlueline]]+Table24[[#This Row],[Pepsico]]</f>
        <v>0</v>
      </c>
      <c r="P986" s="24">
        <f t="shared" si="38"/>
        <v>0</v>
      </c>
      <c r="Q986" s="24"/>
      <c r="R986" s="23"/>
      <c r="S986" s="25" t="e">
        <f t="shared" si="39"/>
        <v>#DIV/0!</v>
      </c>
      <c r="T986" s="24"/>
      <c r="U986" s="36" t="e">
        <f>Table24[[#This Row],[WagesPercent]]+Table24[[#This Row],[FoodCostPercent]]</f>
        <v>#DIV/0!</v>
      </c>
      <c r="V986" s="36"/>
    </row>
    <row r="987" spans="1:22" x14ac:dyDescent="0.25">
      <c r="A987" s="20">
        <v>986</v>
      </c>
      <c r="B987" s="21"/>
      <c r="C987" s="21"/>
      <c r="D987" s="6"/>
      <c r="E987" s="6"/>
      <c r="F987" s="6"/>
      <c r="G987" s="6"/>
      <c r="H987" s="6"/>
      <c r="I987" s="23"/>
      <c r="J987" s="23"/>
      <c r="K987" s="23"/>
      <c r="L987" s="23"/>
      <c r="M987" s="23"/>
      <c r="N987" s="23"/>
      <c r="O987" s="23">
        <f>+Table24[[#This Row],[FoodcostBlueline]]+Table24[[#This Row],[Pepsico]]</f>
        <v>0</v>
      </c>
      <c r="P987" s="24">
        <f t="shared" si="38"/>
        <v>0</v>
      </c>
      <c r="Q987" s="24"/>
      <c r="R987" s="23"/>
      <c r="S987" s="25" t="e">
        <f t="shared" si="39"/>
        <v>#DIV/0!</v>
      </c>
      <c r="T987" s="24"/>
      <c r="U987" s="36" t="e">
        <f>Table24[[#This Row],[WagesPercent]]+Table24[[#This Row],[FoodCostPercent]]</f>
        <v>#DIV/0!</v>
      </c>
      <c r="V987" s="36"/>
    </row>
    <row r="988" spans="1:22" x14ac:dyDescent="0.25">
      <c r="A988" s="20">
        <v>987</v>
      </c>
      <c r="B988" s="21"/>
      <c r="C988" s="21"/>
      <c r="D988" s="6"/>
      <c r="E988" s="6"/>
      <c r="F988" s="6"/>
      <c r="G988" s="6"/>
      <c r="H988" s="6"/>
      <c r="I988" s="23"/>
      <c r="J988" s="23"/>
      <c r="K988" s="23"/>
      <c r="L988" s="23"/>
      <c r="M988" s="23"/>
      <c r="N988" s="23"/>
      <c r="O988" s="23">
        <f>+Table24[[#This Row],[FoodcostBlueline]]+Table24[[#This Row],[Pepsico]]</f>
        <v>0</v>
      </c>
      <c r="P988" s="24">
        <f t="shared" si="38"/>
        <v>0</v>
      </c>
      <c r="Q988" s="24"/>
      <c r="R988" s="23"/>
      <c r="S988" s="25" t="e">
        <f t="shared" si="39"/>
        <v>#DIV/0!</v>
      </c>
      <c r="T988" s="24"/>
      <c r="U988" s="36" t="e">
        <f>Table24[[#This Row],[WagesPercent]]+Table24[[#This Row],[FoodCostPercent]]</f>
        <v>#DIV/0!</v>
      </c>
      <c r="V988" s="36"/>
    </row>
    <row r="989" spans="1:22" x14ac:dyDescent="0.25">
      <c r="A989" s="20">
        <v>988</v>
      </c>
      <c r="B989" s="21"/>
      <c r="C989" s="21"/>
      <c r="D989" s="6"/>
      <c r="E989" s="6"/>
      <c r="F989" s="6"/>
      <c r="G989" s="6"/>
      <c r="H989" s="6"/>
      <c r="I989" s="23"/>
      <c r="J989" s="23"/>
      <c r="K989" s="23"/>
      <c r="L989" s="23"/>
      <c r="M989" s="23"/>
      <c r="N989" s="23"/>
      <c r="O989" s="23">
        <f>+Table24[[#This Row],[FoodcostBlueline]]+Table24[[#This Row],[Pepsico]]</f>
        <v>0</v>
      </c>
      <c r="P989" s="24">
        <f t="shared" si="38"/>
        <v>0</v>
      </c>
      <c r="Q989" s="24"/>
      <c r="R989" s="23"/>
      <c r="S989" s="25" t="e">
        <f t="shared" si="39"/>
        <v>#DIV/0!</v>
      </c>
      <c r="T989" s="24"/>
      <c r="U989" s="36" t="e">
        <f>Table24[[#This Row],[WagesPercent]]+Table24[[#This Row],[FoodCostPercent]]</f>
        <v>#DIV/0!</v>
      </c>
      <c r="V989" s="36"/>
    </row>
    <row r="990" spans="1:22" x14ac:dyDescent="0.25">
      <c r="A990" s="20">
        <v>989</v>
      </c>
      <c r="B990" s="21"/>
      <c r="C990" s="21"/>
      <c r="D990" s="6"/>
      <c r="E990" s="6"/>
      <c r="F990" s="6"/>
      <c r="G990" s="6"/>
      <c r="H990" s="6"/>
      <c r="I990" s="23"/>
      <c r="J990" s="23"/>
      <c r="K990" s="23"/>
      <c r="L990" s="23"/>
      <c r="M990" s="23"/>
      <c r="N990" s="23"/>
      <c r="O990" s="23">
        <f>+Table24[[#This Row],[FoodcostBlueline]]+Table24[[#This Row],[Pepsico]]</f>
        <v>0</v>
      </c>
      <c r="P990" s="24">
        <f t="shared" si="38"/>
        <v>0</v>
      </c>
      <c r="Q990" s="24"/>
      <c r="R990" s="23"/>
      <c r="S990" s="25" t="e">
        <f t="shared" si="39"/>
        <v>#DIV/0!</v>
      </c>
      <c r="T990" s="24"/>
      <c r="U990" s="36" t="e">
        <f>Table24[[#This Row],[WagesPercent]]+Table24[[#This Row],[FoodCostPercent]]</f>
        <v>#DIV/0!</v>
      </c>
      <c r="V990" s="36"/>
    </row>
    <row r="991" spans="1:22" x14ac:dyDescent="0.25">
      <c r="A991" s="20">
        <v>990</v>
      </c>
      <c r="B991" s="21"/>
      <c r="C991" s="21"/>
      <c r="D991" s="6"/>
      <c r="E991" s="6"/>
      <c r="F991" s="6"/>
      <c r="G991" s="6"/>
      <c r="H991" s="6"/>
      <c r="I991" s="23"/>
      <c r="J991" s="23"/>
      <c r="K991" s="23"/>
      <c r="L991" s="23"/>
      <c r="M991" s="23"/>
      <c r="N991" s="23"/>
      <c r="O991" s="23">
        <f>+Table24[[#This Row],[FoodcostBlueline]]+Table24[[#This Row],[Pepsico]]</f>
        <v>0</v>
      </c>
      <c r="P991" s="24">
        <f t="shared" si="38"/>
        <v>0</v>
      </c>
      <c r="Q991" s="24"/>
      <c r="R991" s="23"/>
      <c r="S991" s="25" t="e">
        <f t="shared" si="39"/>
        <v>#DIV/0!</v>
      </c>
      <c r="T991" s="24"/>
      <c r="U991" s="36" t="e">
        <f>Table24[[#This Row],[WagesPercent]]+Table24[[#This Row],[FoodCostPercent]]</f>
        <v>#DIV/0!</v>
      </c>
      <c r="V991" s="36"/>
    </row>
    <row r="992" spans="1:22" x14ac:dyDescent="0.25">
      <c r="A992" s="20">
        <v>991</v>
      </c>
      <c r="B992" s="21"/>
      <c r="C992" s="21"/>
      <c r="D992" s="6"/>
      <c r="E992" s="6"/>
      <c r="F992" s="6"/>
      <c r="G992" s="6"/>
      <c r="H992" s="6"/>
      <c r="I992" s="23"/>
      <c r="J992" s="23"/>
      <c r="K992" s="23"/>
      <c r="L992" s="23"/>
      <c r="M992" s="23"/>
      <c r="N992" s="23"/>
      <c r="O992" s="23">
        <f>+Table24[[#This Row],[FoodcostBlueline]]+Table24[[#This Row],[Pepsico]]</f>
        <v>0</v>
      </c>
      <c r="P992" s="24">
        <f t="shared" si="38"/>
        <v>0</v>
      </c>
      <c r="Q992" s="24"/>
      <c r="R992" s="23"/>
      <c r="S992" s="25" t="e">
        <f t="shared" si="39"/>
        <v>#DIV/0!</v>
      </c>
      <c r="T992" s="24"/>
      <c r="U992" s="36" t="e">
        <f>Table24[[#This Row],[WagesPercent]]+Table24[[#This Row],[FoodCostPercent]]</f>
        <v>#DIV/0!</v>
      </c>
      <c r="V992" s="36"/>
    </row>
    <row r="993" spans="1:23" x14ac:dyDescent="0.25">
      <c r="A993" s="20">
        <v>992</v>
      </c>
      <c r="B993" s="21"/>
      <c r="C993" s="21"/>
      <c r="D993" s="6"/>
      <c r="E993" s="6"/>
      <c r="F993" s="6"/>
      <c r="G993" s="6"/>
      <c r="H993" s="6"/>
      <c r="I993" s="23"/>
      <c r="J993" s="23"/>
      <c r="K993" s="23"/>
      <c r="L993" s="23"/>
      <c r="M993" s="23"/>
      <c r="N993" s="23"/>
      <c r="O993" s="23">
        <f>+Table24[[#This Row],[FoodcostBlueline]]+Table24[[#This Row],[Pepsico]]</f>
        <v>0</v>
      </c>
      <c r="P993" s="24">
        <f t="shared" si="38"/>
        <v>0</v>
      </c>
      <c r="Q993" s="24"/>
      <c r="R993" s="23"/>
      <c r="S993" s="25" t="e">
        <f t="shared" si="39"/>
        <v>#DIV/0!</v>
      </c>
      <c r="T993" s="24"/>
      <c r="U993" s="36" t="e">
        <f>Table24[[#This Row],[WagesPercent]]+Table24[[#This Row],[FoodCostPercent]]</f>
        <v>#DIV/0!</v>
      </c>
      <c r="V993" s="36"/>
    </row>
    <row r="994" spans="1:23" x14ac:dyDescent="0.25">
      <c r="A994" s="20">
        <v>993</v>
      </c>
      <c r="B994" s="21"/>
      <c r="C994" s="21"/>
      <c r="D994" s="6"/>
      <c r="E994" s="6"/>
      <c r="F994" s="6"/>
      <c r="G994" s="6"/>
      <c r="H994" s="6"/>
      <c r="I994" s="23"/>
      <c r="J994" s="23"/>
      <c r="K994" s="23"/>
      <c r="L994" s="23"/>
      <c r="M994" s="37"/>
      <c r="N994" s="23"/>
      <c r="O994" s="23">
        <f>+Table24[[#This Row],[FoodcostBlueline]]+Table24[[#This Row],[Pepsico]]</f>
        <v>0</v>
      </c>
      <c r="P994" s="24">
        <f t="shared" si="38"/>
        <v>0</v>
      </c>
      <c r="Q994" s="24"/>
      <c r="R994" s="23"/>
      <c r="S994" s="25" t="e">
        <f t="shared" si="39"/>
        <v>#DIV/0!</v>
      </c>
      <c r="T994" s="24"/>
      <c r="U994" s="36" t="e">
        <f>Table24[[#This Row],[WagesPercent]]+Table24[[#This Row],[FoodCostPercent]]</f>
        <v>#DIV/0!</v>
      </c>
      <c r="V994" s="36"/>
    </row>
    <row r="995" spans="1:23" x14ac:dyDescent="0.25">
      <c r="A995" s="20">
        <v>994</v>
      </c>
      <c r="B995" s="21"/>
      <c r="C995" s="21"/>
      <c r="D995" s="6"/>
      <c r="E995" s="6"/>
      <c r="F995" s="6"/>
      <c r="G995" s="6"/>
      <c r="H995" s="6"/>
      <c r="I995" s="23"/>
      <c r="J995" s="23"/>
      <c r="K995" s="23"/>
      <c r="L995" s="23"/>
      <c r="M995" s="23"/>
      <c r="N995" s="23"/>
      <c r="O995" s="23">
        <f>+Table24[[#This Row],[FoodcostBlueline]]+Table24[[#This Row],[Pepsico]]</f>
        <v>0</v>
      </c>
      <c r="P995" s="24">
        <f t="shared" si="38"/>
        <v>0</v>
      </c>
      <c r="Q995" s="24"/>
      <c r="R995" s="23"/>
      <c r="S995" s="25" t="e">
        <f t="shared" si="39"/>
        <v>#DIV/0!</v>
      </c>
      <c r="T995" s="24"/>
      <c r="U995" s="36" t="e">
        <f>Table24[[#This Row],[WagesPercent]]+Table24[[#This Row],[FoodCostPercent]]</f>
        <v>#DIV/0!</v>
      </c>
      <c r="V995" s="36"/>
    </row>
    <row r="996" spans="1:23" x14ac:dyDescent="0.25">
      <c r="A996" s="20">
        <v>995</v>
      </c>
      <c r="B996" s="21"/>
      <c r="C996" s="21"/>
      <c r="D996" s="6"/>
      <c r="E996" s="6"/>
      <c r="F996" s="6"/>
      <c r="G996" s="6"/>
      <c r="H996" s="6"/>
      <c r="I996" s="23"/>
      <c r="J996" s="23"/>
      <c r="K996" s="23"/>
      <c r="L996" s="23"/>
      <c r="M996" s="23"/>
      <c r="N996" s="23"/>
      <c r="O996" s="23">
        <f>+Table24[[#This Row],[FoodcostBlueline]]+Table24[[#This Row],[Pepsico]]</f>
        <v>0</v>
      </c>
      <c r="P996" s="24">
        <f t="shared" si="38"/>
        <v>0</v>
      </c>
      <c r="Q996" s="24"/>
      <c r="R996" s="23"/>
      <c r="S996" s="25" t="e">
        <f t="shared" si="39"/>
        <v>#DIV/0!</v>
      </c>
      <c r="T996" s="24"/>
      <c r="U996" s="36" t="e">
        <f>Table24[[#This Row],[WagesPercent]]+Table24[[#This Row],[FoodCostPercent]]</f>
        <v>#DIV/0!</v>
      </c>
      <c r="V996" s="36"/>
    </row>
    <row r="997" spans="1:23" x14ac:dyDescent="0.25">
      <c r="A997" s="20">
        <v>996</v>
      </c>
      <c r="B997" s="21"/>
      <c r="C997" s="21"/>
      <c r="D997" s="6"/>
      <c r="E997" s="6"/>
      <c r="F997" s="6"/>
      <c r="G997" s="6"/>
      <c r="H997" s="6"/>
      <c r="I997" s="23"/>
      <c r="J997" s="23"/>
      <c r="K997" s="23"/>
      <c r="L997" s="23"/>
      <c r="M997" s="23"/>
      <c r="N997" s="23"/>
      <c r="O997" s="23">
        <f>+Table24[[#This Row],[FoodcostBlueline]]+Table24[[#This Row],[Pepsico]]</f>
        <v>0</v>
      </c>
      <c r="P997" s="24">
        <f t="shared" si="38"/>
        <v>0</v>
      </c>
      <c r="Q997" s="24"/>
      <c r="R997" s="23"/>
      <c r="S997" s="25" t="e">
        <f t="shared" si="39"/>
        <v>#DIV/0!</v>
      </c>
      <c r="T997" s="24"/>
      <c r="U997" s="36" t="e">
        <f>Table24[[#This Row],[WagesPercent]]+Table24[[#This Row],[FoodCostPercent]]</f>
        <v>#DIV/0!</v>
      </c>
      <c r="V997" s="36"/>
    </row>
    <row r="998" spans="1:23" x14ac:dyDescent="0.25">
      <c r="A998" s="20">
        <v>997</v>
      </c>
      <c r="B998" s="21"/>
      <c r="C998" s="21"/>
      <c r="D998" s="6"/>
      <c r="E998" s="6"/>
      <c r="F998" s="6"/>
      <c r="G998" s="6"/>
      <c r="H998" s="6"/>
      <c r="I998" s="23"/>
      <c r="J998" s="23"/>
      <c r="K998" s="23"/>
      <c r="L998" s="23"/>
      <c r="M998" s="23"/>
      <c r="N998" s="23"/>
      <c r="O998" s="23">
        <f>+Table24[[#This Row],[FoodcostBlueline]]+Table24[[#This Row],[Pepsico]]</f>
        <v>0</v>
      </c>
      <c r="P998" s="24">
        <f t="shared" si="38"/>
        <v>0</v>
      </c>
      <c r="Q998" s="24"/>
      <c r="R998" s="23"/>
      <c r="S998" s="25" t="e">
        <f t="shared" si="39"/>
        <v>#DIV/0!</v>
      </c>
      <c r="T998" s="24"/>
      <c r="U998" s="36" t="e">
        <f>Table24[[#This Row],[WagesPercent]]+Table24[[#This Row],[FoodCostPercent]]</f>
        <v>#DIV/0!</v>
      </c>
      <c r="V998" s="36"/>
    </row>
    <row r="999" spans="1:23" x14ac:dyDescent="0.25">
      <c r="A999" s="20">
        <v>998</v>
      </c>
      <c r="B999" s="21"/>
      <c r="C999" s="21"/>
      <c r="D999" s="6"/>
      <c r="E999" s="6"/>
      <c r="F999" s="6"/>
      <c r="G999" s="6"/>
      <c r="H999" s="6"/>
      <c r="I999" s="23"/>
      <c r="J999" s="23"/>
      <c r="K999" s="23"/>
      <c r="L999" s="23"/>
      <c r="M999" s="23"/>
      <c r="N999" s="23"/>
      <c r="O999" s="23">
        <f>+Table24[[#This Row],[FoodcostBlueline]]+Table24[[#This Row],[Pepsico]]</f>
        <v>0</v>
      </c>
      <c r="P999" s="24">
        <f t="shared" si="38"/>
        <v>0</v>
      </c>
      <c r="Q999" s="24"/>
      <c r="R999" s="23"/>
      <c r="S999" s="25" t="e">
        <f t="shared" si="39"/>
        <v>#DIV/0!</v>
      </c>
      <c r="T999" s="24"/>
      <c r="U999" s="36" t="e">
        <f>Table24[[#This Row],[WagesPercent]]+Table24[[#This Row],[FoodCostPercent]]</f>
        <v>#DIV/0!</v>
      </c>
      <c r="V999" s="36"/>
    </row>
    <row r="1000" spans="1:23" x14ac:dyDescent="0.25">
      <c r="A1000" s="20">
        <v>999</v>
      </c>
      <c r="B1000" s="29"/>
      <c r="C1000" s="29"/>
      <c r="D1000" s="17"/>
      <c r="E1000" s="17"/>
      <c r="F1000" s="17"/>
      <c r="G1000" s="17"/>
      <c r="H1000" s="17"/>
      <c r="I1000" s="31"/>
      <c r="J1000" s="23"/>
      <c r="K1000" s="31"/>
      <c r="L1000" s="31"/>
      <c r="M1000" s="31"/>
      <c r="N1000" s="23"/>
      <c r="O1000" s="31">
        <f>+Table24[[#This Row],[FoodcostBlueline]]+Table24[[#This Row],[Pepsico]]</f>
        <v>0</v>
      </c>
      <c r="P1000" s="32">
        <f t="shared" si="38"/>
        <v>0</v>
      </c>
      <c r="Q1000" s="32"/>
      <c r="R1000" s="31"/>
      <c r="S1000" s="25" t="e">
        <f t="shared" si="39"/>
        <v>#DIV/0!</v>
      </c>
      <c r="T1000" s="32"/>
      <c r="U1000" s="39" t="e">
        <f>Table24[[#This Row],[WagesPercent]]+Table24[[#This Row],[FoodCostPercent]]</f>
        <v>#DIV/0!</v>
      </c>
      <c r="V1000" s="39"/>
    </row>
    <row r="1001" spans="1:23" x14ac:dyDescent="0.25">
      <c r="A1001" s="40"/>
      <c r="B1001" s="29"/>
      <c r="C1001" s="29"/>
      <c r="D1001" s="17"/>
      <c r="E1001" s="17"/>
      <c r="F1001" s="17"/>
      <c r="G1001" s="17"/>
      <c r="H1001" s="17"/>
      <c r="I1001" s="54">
        <f>SUBTOTAL(109,Table24[Sales2025])</f>
        <v>13681493.668000005</v>
      </c>
      <c r="J1001" s="54" t="e">
        <f>SUBTOTAL(109,Table24[Sales2024])</f>
        <v>#REF!</v>
      </c>
      <c r="K1001" s="54"/>
      <c r="L1001" s="54"/>
      <c r="M1001" s="54">
        <f>SUBTOTAL(109,Table24[FoodcostBlueline])</f>
        <v>3966242.5780000002</v>
      </c>
      <c r="N1001" s="46">
        <f>SUBTOTAL(109,Table24[Pepsico])</f>
        <v>301661.3200000003</v>
      </c>
      <c r="O1001" s="54">
        <f>SUBTOTAL(109,Table24[TotalFoodCost])</f>
        <v>4267903.898</v>
      </c>
      <c r="P1001" s="25">
        <f t="shared" si="38"/>
        <v>0.31194721874427422</v>
      </c>
      <c r="Q1001" s="33"/>
      <c r="R1001" s="52">
        <f>SUBTOTAL(109,Table24[Wages])</f>
        <v>3255048.3829999994</v>
      </c>
      <c r="S1001" s="46">
        <f>+Table24[[#Totals],[Wages]]/Table24[[#Totals],[Sales2025]]*100</f>
        <v>23.791615608559724</v>
      </c>
      <c r="T1001" s="33"/>
      <c r="U1001" s="26" t="e">
        <f>Table24[[#This Row],[WagesPercent]]+Table24[[#This Row],[FoodCostPercent]]</f>
        <v>#VALUE!</v>
      </c>
      <c r="V1001" s="34"/>
    </row>
    <row r="1002" spans="1:23" x14ac:dyDescent="0.25">
      <c r="I1002" s="38"/>
      <c r="J1002" s="38"/>
      <c r="K1002" s="38"/>
      <c r="L1002" s="38"/>
      <c r="M1002" s="41"/>
      <c r="N1002" s="23"/>
      <c r="O1002" s="38"/>
      <c r="P1002" s="38"/>
      <c r="Q1002" s="38"/>
      <c r="S1002" s="25"/>
      <c r="T1002" s="38"/>
      <c r="U1002" s="38"/>
      <c r="V1002" s="38"/>
      <c r="W1002" s="43"/>
    </row>
    <row r="1003" spans="1:23" x14ac:dyDescent="0.25">
      <c r="I1003" s="38"/>
      <c r="J1003" s="38"/>
      <c r="K1003" s="38"/>
      <c r="L1003" s="38"/>
      <c r="M1003" s="45"/>
      <c r="N1003" s="23"/>
      <c r="O1003" s="38"/>
      <c r="P1003" s="49"/>
      <c r="Q1003" s="38"/>
      <c r="S1003" s="25"/>
      <c r="T1003" s="38"/>
      <c r="U1003" s="38"/>
      <c r="V1003" s="38"/>
      <c r="W1003" s="43"/>
    </row>
    <row r="1004" spans="1:23" x14ac:dyDescent="0.25">
      <c r="I1004" s="38"/>
      <c r="J1004" s="38"/>
      <c r="K1004" s="38"/>
      <c r="L1004" s="38"/>
      <c r="M1004" s="38"/>
      <c r="N1004" s="23"/>
      <c r="O1004" s="38"/>
      <c r="P1004" s="38"/>
      <c r="Q1004" s="38">
        <v>160065.29</v>
      </c>
      <c r="S1004" s="25"/>
      <c r="T1004" s="38"/>
      <c r="U1004" s="38"/>
      <c r="V1004" s="38"/>
      <c r="W1004" s="43"/>
    </row>
    <row r="1005" spans="1:23" x14ac:dyDescent="0.25">
      <c r="I1005" s="38"/>
      <c r="J1005" s="38"/>
      <c r="K1005" s="38"/>
      <c r="L1005" s="38"/>
      <c r="M1005" s="38"/>
      <c r="N1005" s="23"/>
      <c r="O1005" s="38"/>
      <c r="P1005" s="38"/>
      <c r="Q1005" s="38">
        <f>+Q1004-R1001</f>
        <v>-3094983.0929999994</v>
      </c>
      <c r="S1005" s="25"/>
      <c r="T1005" s="38"/>
      <c r="U1005" s="38"/>
      <c r="V1005" s="38"/>
      <c r="W1005" s="43"/>
    </row>
    <row r="1006" spans="1:23" x14ac:dyDescent="0.25">
      <c r="I1006" s="38"/>
      <c r="J1006" s="38"/>
      <c r="K1006" s="38"/>
      <c r="L1006" s="38"/>
      <c r="N1006" s="23"/>
      <c r="O1006" s="44"/>
      <c r="P1006" s="38"/>
      <c r="Q1006" s="38"/>
      <c r="S1006" s="25"/>
      <c r="T1006" s="38"/>
      <c r="U1006" s="38"/>
      <c r="V1006" s="38"/>
      <c r="W1006" s="43"/>
    </row>
    <row r="1007" spans="1:23" x14ac:dyDescent="0.25">
      <c r="D1007" s="44"/>
      <c r="I1007" s="45"/>
      <c r="J1007" s="38"/>
      <c r="K1007" s="38"/>
      <c r="L1007" s="38"/>
      <c r="M1007" s="38"/>
      <c r="N1007" s="23"/>
      <c r="O1007" s="38"/>
      <c r="P1007" s="38"/>
      <c r="Q1007" s="38"/>
      <c r="S1007" s="25"/>
      <c r="T1007" s="38"/>
      <c r="U1007" s="38"/>
      <c r="V1007" s="38"/>
      <c r="W1007" s="43"/>
    </row>
    <row r="1008" spans="1:23" x14ac:dyDescent="0.25">
      <c r="I1008" s="38"/>
      <c r="J1008" s="38"/>
      <c r="K1008" s="38"/>
      <c r="L1008" s="38"/>
      <c r="M1008" s="38"/>
      <c r="N1008" s="23"/>
      <c r="O1008" s="38"/>
      <c r="P1008" s="38"/>
      <c r="Q1008" s="38"/>
      <c r="S1008" s="25"/>
      <c r="T1008" s="38"/>
      <c r="U1008" s="38"/>
      <c r="V1008" s="38"/>
      <c r="W1008" s="43"/>
    </row>
    <row r="1009" spans="9:23" x14ac:dyDescent="0.25">
      <c r="I1009" s="38"/>
      <c r="J1009" s="38"/>
      <c r="K1009" s="38"/>
      <c r="L1009" s="38"/>
      <c r="M1009" s="38"/>
      <c r="N1009" s="23"/>
      <c r="O1009" s="38"/>
      <c r="P1009" s="38"/>
      <c r="Q1009" s="38"/>
      <c r="S1009" s="25"/>
      <c r="T1009" s="38"/>
      <c r="U1009" s="38"/>
      <c r="V1009" s="38"/>
      <c r="W1009" s="43"/>
    </row>
    <row r="1010" spans="9:23" x14ac:dyDescent="0.25">
      <c r="I1010" s="38"/>
      <c r="J1010" s="38"/>
      <c r="K1010" s="38"/>
      <c r="L1010" s="38"/>
      <c r="M1010" s="38"/>
      <c r="N1010" s="23"/>
      <c r="O1010" s="38"/>
      <c r="P1010" s="38"/>
      <c r="Q1010" s="38"/>
      <c r="S1010" s="25"/>
      <c r="T1010" s="38"/>
      <c r="U1010" s="38"/>
      <c r="V1010" s="38"/>
      <c r="W1010" s="43"/>
    </row>
    <row r="1011" spans="9:23" x14ac:dyDescent="0.25">
      <c r="I1011" s="38"/>
      <c r="J1011" s="38"/>
      <c r="K1011" s="38"/>
      <c r="L1011" s="38"/>
      <c r="M1011" s="38"/>
      <c r="N1011" s="23"/>
      <c r="O1011" s="38"/>
      <c r="P1011" s="38"/>
      <c r="Q1011" s="38"/>
      <c r="S1011" s="25"/>
      <c r="T1011" s="38"/>
      <c r="U1011" s="38"/>
      <c r="V1011" s="38"/>
      <c r="W1011" s="43"/>
    </row>
    <row r="1012" spans="9:23" x14ac:dyDescent="0.25">
      <c r="I1012" s="38"/>
      <c r="J1012" s="38"/>
      <c r="K1012" s="38"/>
      <c r="L1012" s="38"/>
      <c r="M1012" s="38"/>
      <c r="N1012" s="23"/>
      <c r="O1012" s="38"/>
      <c r="P1012" s="38"/>
      <c r="Q1012" s="38"/>
      <c r="S1012" s="25"/>
      <c r="T1012" s="38"/>
      <c r="U1012" s="38"/>
      <c r="V1012" s="38"/>
      <c r="W1012" s="43"/>
    </row>
    <row r="1013" spans="9:23" x14ac:dyDescent="0.25">
      <c r="I1013" s="38"/>
      <c r="J1013" s="38"/>
      <c r="K1013" s="38"/>
      <c r="L1013" s="38"/>
      <c r="M1013" s="38"/>
      <c r="N1013" s="23"/>
      <c r="O1013" s="38"/>
      <c r="P1013" s="38"/>
      <c r="Q1013" s="38"/>
      <c r="S1013" s="25"/>
      <c r="T1013" s="38"/>
      <c r="U1013" s="38"/>
      <c r="V1013" s="38"/>
      <c r="W1013" s="43"/>
    </row>
    <row r="1014" spans="9:23" x14ac:dyDescent="0.25">
      <c r="I1014" s="38"/>
      <c r="J1014" s="38"/>
      <c r="K1014" s="38"/>
      <c r="L1014" s="38"/>
      <c r="M1014" s="38"/>
      <c r="N1014" s="23"/>
      <c r="O1014" s="38"/>
      <c r="P1014" s="38"/>
      <c r="Q1014" s="38"/>
      <c r="S1014" s="25"/>
      <c r="T1014" s="38"/>
      <c r="U1014" s="38"/>
      <c r="V1014" s="38"/>
      <c r="W1014" s="43"/>
    </row>
    <row r="1015" spans="9:23" x14ac:dyDescent="0.25">
      <c r="I1015" s="38"/>
      <c r="J1015" s="38"/>
      <c r="K1015" s="38"/>
      <c r="L1015" s="38"/>
      <c r="M1015" s="38"/>
      <c r="N1015" s="23"/>
      <c r="O1015" s="38"/>
      <c r="P1015" s="38"/>
      <c r="Q1015" s="38"/>
      <c r="S1015" s="25"/>
      <c r="T1015" s="38"/>
      <c r="U1015" s="38"/>
      <c r="V1015" s="38"/>
      <c r="W1015" s="43"/>
    </row>
    <row r="1016" spans="9:23" x14ac:dyDescent="0.25">
      <c r="I1016" s="38"/>
      <c r="J1016" s="38"/>
      <c r="K1016" s="38"/>
      <c r="L1016" s="38"/>
      <c r="M1016" s="38"/>
      <c r="N1016" s="23"/>
      <c r="O1016" s="38"/>
      <c r="P1016" s="38"/>
      <c r="Q1016" s="38"/>
      <c r="S1016" s="25"/>
      <c r="T1016" s="38"/>
      <c r="U1016" s="38"/>
      <c r="V1016" s="38"/>
      <c r="W1016" s="43"/>
    </row>
    <row r="1017" spans="9:23" x14ac:dyDescent="0.25">
      <c r="I1017" s="38"/>
      <c r="J1017" s="38"/>
      <c r="K1017" s="38"/>
      <c r="L1017" s="38"/>
      <c r="M1017" s="38"/>
      <c r="N1017" s="23"/>
      <c r="O1017" s="38"/>
      <c r="P1017" s="38"/>
      <c r="Q1017" s="38"/>
      <c r="S1017" s="25"/>
      <c r="T1017" s="38"/>
      <c r="U1017" s="38"/>
      <c r="V1017" s="38"/>
      <c r="W1017" s="43"/>
    </row>
    <row r="1018" spans="9:23" x14ac:dyDescent="0.25">
      <c r="I1018" s="38"/>
      <c r="J1018" s="38"/>
      <c r="K1018" s="38"/>
      <c r="L1018" s="38"/>
      <c r="M1018" s="38"/>
      <c r="N1018" s="23"/>
      <c r="O1018" s="38"/>
      <c r="P1018" s="38"/>
      <c r="Q1018" s="38"/>
      <c r="S1018" s="25"/>
      <c r="T1018" s="38"/>
      <c r="U1018" s="38"/>
      <c r="V1018" s="38"/>
      <c r="W1018" s="43"/>
    </row>
    <row r="1019" spans="9:23" x14ac:dyDescent="0.25">
      <c r="I1019" s="38"/>
      <c r="J1019" s="38"/>
      <c r="K1019" s="38"/>
      <c r="L1019" s="38"/>
      <c r="M1019" s="38"/>
      <c r="N1019" s="23"/>
      <c r="O1019" s="38"/>
      <c r="P1019" s="38"/>
      <c r="Q1019" s="38"/>
      <c r="S1019" s="25"/>
      <c r="T1019" s="38"/>
      <c r="U1019" s="38"/>
      <c r="V1019" s="38"/>
      <c r="W1019" s="43"/>
    </row>
    <row r="1020" spans="9:23" x14ac:dyDescent="0.25">
      <c r="I1020" s="38"/>
      <c r="J1020" s="38"/>
      <c r="K1020" s="38"/>
      <c r="L1020" s="38"/>
      <c r="M1020" s="38"/>
      <c r="N1020" s="23"/>
      <c r="O1020" s="38"/>
      <c r="P1020" s="38"/>
      <c r="Q1020" s="38"/>
      <c r="S1020" s="25"/>
      <c r="T1020" s="38"/>
      <c r="U1020" s="38"/>
      <c r="V1020" s="38"/>
      <c r="W1020" s="43"/>
    </row>
    <row r="1021" spans="9:23" x14ac:dyDescent="0.25">
      <c r="I1021" s="38"/>
      <c r="J1021" s="38"/>
      <c r="K1021" s="38"/>
      <c r="L1021" s="38"/>
      <c r="M1021" s="38"/>
      <c r="N1021" s="23"/>
      <c r="O1021" s="38"/>
      <c r="P1021" s="38"/>
      <c r="Q1021" s="38"/>
      <c r="S1021" s="25"/>
      <c r="T1021" s="38"/>
      <c r="U1021" s="38"/>
      <c r="V1021" s="38"/>
      <c r="W1021" s="43"/>
    </row>
    <row r="1022" spans="9:23" x14ac:dyDescent="0.25">
      <c r="I1022" s="38"/>
      <c r="J1022" s="38"/>
      <c r="K1022" s="38"/>
      <c r="L1022" s="38"/>
      <c r="M1022" s="38"/>
      <c r="N1022" s="23"/>
      <c r="O1022" s="38"/>
      <c r="P1022" s="38"/>
      <c r="Q1022" s="38"/>
      <c r="S1022" s="25"/>
      <c r="T1022" s="38"/>
      <c r="U1022" s="38"/>
      <c r="V1022" s="38"/>
      <c r="W1022" s="43"/>
    </row>
    <row r="1023" spans="9:23" x14ac:dyDescent="0.25">
      <c r="I1023" s="38"/>
      <c r="J1023" s="38"/>
      <c r="K1023" s="38"/>
      <c r="L1023" s="38"/>
      <c r="M1023" s="38"/>
      <c r="N1023" s="23"/>
      <c r="O1023" s="38"/>
      <c r="P1023" s="38"/>
      <c r="Q1023" s="38"/>
      <c r="S1023" s="25"/>
      <c r="T1023" s="38"/>
      <c r="U1023" s="38"/>
      <c r="V1023" s="38"/>
      <c r="W1023" s="43"/>
    </row>
    <row r="1024" spans="9:23" x14ac:dyDescent="0.25">
      <c r="I1024" s="38"/>
      <c r="J1024" s="38"/>
      <c r="K1024" s="38"/>
      <c r="L1024" s="38"/>
      <c r="M1024" s="38"/>
      <c r="N1024" s="23"/>
      <c r="O1024" s="38"/>
      <c r="P1024" s="38"/>
      <c r="Q1024" s="38"/>
      <c r="S1024" s="25"/>
      <c r="T1024" s="38"/>
      <c r="U1024" s="38"/>
      <c r="V1024" s="38"/>
      <c r="W1024" s="43"/>
    </row>
    <row r="1025" spans="9:23" x14ac:dyDescent="0.25">
      <c r="I1025" s="38"/>
      <c r="J1025" s="38"/>
      <c r="K1025" s="38"/>
      <c r="L1025" s="38"/>
      <c r="M1025" s="38"/>
      <c r="N1025" s="23"/>
      <c r="O1025" s="38"/>
      <c r="P1025" s="38"/>
      <c r="Q1025" s="38"/>
      <c r="S1025" s="25"/>
      <c r="T1025" s="38"/>
      <c r="U1025" s="38"/>
      <c r="V1025" s="38"/>
      <c r="W1025" s="43"/>
    </row>
    <row r="1026" spans="9:23" x14ac:dyDescent="0.25">
      <c r="I1026" s="38"/>
      <c r="J1026" s="38"/>
      <c r="K1026" s="38"/>
      <c r="L1026" s="38"/>
      <c r="M1026" s="38"/>
      <c r="N1026" s="23"/>
      <c r="O1026" s="38"/>
      <c r="P1026" s="38"/>
      <c r="Q1026" s="38"/>
      <c r="S1026" s="25"/>
      <c r="T1026" s="38"/>
      <c r="U1026" s="38"/>
      <c r="V1026" s="38"/>
      <c r="W1026" s="43"/>
    </row>
    <row r="1027" spans="9:23" x14ac:dyDescent="0.25">
      <c r="I1027" s="38"/>
      <c r="J1027" s="38"/>
      <c r="K1027" s="38"/>
      <c r="L1027" s="38"/>
      <c r="M1027" s="41"/>
      <c r="N1027" s="23"/>
      <c r="O1027" s="38"/>
      <c r="P1027" s="38"/>
      <c r="Q1027" s="38"/>
      <c r="S1027" s="25"/>
      <c r="T1027" s="38"/>
      <c r="U1027" s="38"/>
      <c r="V1027" s="38"/>
      <c r="W1027" s="43"/>
    </row>
    <row r="1028" spans="9:23" x14ac:dyDescent="0.25">
      <c r="I1028" s="38"/>
      <c r="J1028" s="38"/>
      <c r="K1028" s="38"/>
      <c r="L1028" s="38"/>
      <c r="M1028" s="38"/>
      <c r="N1028" s="23"/>
      <c r="O1028" s="38"/>
      <c r="P1028" s="38"/>
      <c r="Q1028" s="38"/>
      <c r="S1028" s="25"/>
      <c r="T1028" s="38"/>
      <c r="U1028" s="38"/>
      <c r="V1028" s="38"/>
      <c r="W1028" s="43"/>
    </row>
    <row r="1029" spans="9:23" x14ac:dyDescent="0.25">
      <c r="I1029" s="38"/>
      <c r="J1029" s="38"/>
      <c r="K1029" s="38"/>
      <c r="L1029" s="38"/>
      <c r="M1029" s="38"/>
      <c r="N1029" s="23"/>
      <c r="O1029" s="38"/>
      <c r="P1029" s="38"/>
      <c r="Q1029" s="38"/>
      <c r="S1029" s="25"/>
      <c r="T1029" s="38"/>
      <c r="U1029" s="38"/>
      <c r="V1029" s="38"/>
      <c r="W1029" s="43"/>
    </row>
    <row r="1030" spans="9:23" x14ac:dyDescent="0.25">
      <c r="I1030" s="38"/>
      <c r="J1030" s="38"/>
      <c r="K1030" s="38"/>
      <c r="L1030" s="38"/>
      <c r="M1030" s="38"/>
      <c r="N1030" s="23"/>
      <c r="O1030" s="38"/>
      <c r="P1030" s="38"/>
      <c r="Q1030" s="38"/>
      <c r="S1030" s="25"/>
      <c r="T1030" s="38"/>
      <c r="U1030" s="38"/>
      <c r="V1030" s="38"/>
      <c r="W1030" s="43"/>
    </row>
    <row r="1031" spans="9:23" x14ac:dyDescent="0.25">
      <c r="I1031" s="38"/>
      <c r="J1031" s="38"/>
      <c r="K1031" s="38"/>
      <c r="L1031" s="38"/>
      <c r="M1031" s="38"/>
      <c r="N1031" s="23"/>
      <c r="O1031" s="38"/>
      <c r="P1031" s="38"/>
      <c r="Q1031" s="38"/>
      <c r="S1031" s="25"/>
      <c r="T1031" s="38"/>
      <c r="U1031" s="38"/>
      <c r="V1031" s="38"/>
      <c r="W1031" s="43"/>
    </row>
  </sheetData>
  <sheetProtection pivotTables="0"/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1"/>
  <sheetViews>
    <sheetView workbookViewId="0">
      <selection activeCell="A25" sqref="A25:A28"/>
    </sheetView>
  </sheetViews>
  <sheetFormatPr defaultRowHeight="15" x14ac:dyDescent="0.25"/>
  <cols>
    <col min="1" max="1" width="25.85546875" customWidth="1"/>
    <col min="2" max="2" width="16.28515625" customWidth="1"/>
    <col min="3" max="3" width="11.5703125" customWidth="1"/>
    <col min="4" max="4" width="11.85546875" customWidth="1"/>
    <col min="5" max="5" width="11.28515625" customWidth="1"/>
    <col min="6" max="6" width="11.85546875" customWidth="1"/>
    <col min="7" max="7" width="7.42578125" customWidth="1"/>
    <col min="8" max="8" width="11.85546875" customWidth="1"/>
    <col min="9" max="9" width="14.140625" bestFit="1" customWidth="1"/>
    <col min="10" max="10" width="13.85546875" bestFit="1" customWidth="1"/>
    <col min="11" max="11" width="13.7109375" bestFit="1" customWidth="1"/>
    <col min="12" max="12" width="22.28515625" bestFit="1" customWidth="1"/>
    <col min="13" max="13" width="15.42578125" bestFit="1" customWidth="1"/>
    <col min="14" max="14" width="25.7109375" bestFit="1" customWidth="1"/>
    <col min="15" max="15" width="18.7109375" bestFit="1" customWidth="1"/>
    <col min="16" max="16" width="19.7109375" bestFit="1" customWidth="1"/>
    <col min="17" max="17" width="14" bestFit="1" customWidth="1"/>
    <col min="18" max="18" width="18.5703125" bestFit="1" customWidth="1"/>
    <col min="19" max="19" width="16.7109375" bestFit="1" customWidth="1"/>
    <col min="20" max="20" width="19.28515625" bestFit="1" customWidth="1"/>
    <col min="21" max="21" width="17.42578125" bestFit="1" customWidth="1"/>
    <col min="22" max="22" width="23.7109375" bestFit="1" customWidth="1"/>
    <col min="23" max="23" width="20" bestFit="1" customWidth="1"/>
    <col min="24" max="24" width="22.5703125" bestFit="1" customWidth="1"/>
    <col min="25" max="25" width="22.42578125" bestFit="1" customWidth="1"/>
    <col min="26" max="26" width="16.140625" bestFit="1" customWidth="1"/>
    <col min="27" max="27" width="22.140625" bestFit="1" customWidth="1"/>
    <col min="28" max="28" width="17.5703125" bestFit="1" customWidth="1"/>
    <col min="29" max="29" width="18.5703125" bestFit="1" customWidth="1"/>
    <col min="30" max="30" width="19.42578125" bestFit="1" customWidth="1"/>
    <col min="31" max="31" width="17.7109375" bestFit="1" customWidth="1"/>
    <col min="32" max="32" width="16.85546875" bestFit="1" customWidth="1"/>
    <col min="33" max="33" width="23.42578125" bestFit="1" customWidth="1"/>
    <col min="34" max="34" width="14" bestFit="1" customWidth="1"/>
    <col min="35" max="35" width="7.42578125" bestFit="1" customWidth="1"/>
    <col min="36" max="36" width="11.85546875" bestFit="1" customWidth="1"/>
  </cols>
  <sheetData>
    <row r="3" spans="1:3" x14ac:dyDescent="0.25">
      <c r="A3" s="1" t="s">
        <v>130</v>
      </c>
      <c r="B3" s="1" t="s">
        <v>131</v>
      </c>
    </row>
    <row r="4" spans="1:3" x14ac:dyDescent="0.25">
      <c r="A4" s="1" t="s">
        <v>132</v>
      </c>
      <c r="B4" t="s">
        <v>36</v>
      </c>
      <c r="C4" t="s">
        <v>129</v>
      </c>
    </row>
    <row r="5" spans="1:3" x14ac:dyDescent="0.25">
      <c r="A5" s="2" t="s">
        <v>39</v>
      </c>
      <c r="B5" s="3">
        <v>8295.26</v>
      </c>
      <c r="C5" s="3">
        <v>8295.26</v>
      </c>
    </row>
    <row r="6" spans="1:3" x14ac:dyDescent="0.25">
      <c r="A6" s="2" t="s">
        <v>44</v>
      </c>
      <c r="B6" s="3">
        <v>8878.48</v>
      </c>
      <c r="C6" s="3">
        <v>8878.48</v>
      </c>
    </row>
    <row r="7" spans="1:3" x14ac:dyDescent="0.25">
      <c r="A7" s="2" t="s">
        <v>45</v>
      </c>
      <c r="B7" s="3">
        <v>7672.45</v>
      </c>
      <c r="C7" s="3">
        <v>7672.45</v>
      </c>
    </row>
    <row r="8" spans="1:3" x14ac:dyDescent="0.25">
      <c r="A8" s="2" t="s">
        <v>46</v>
      </c>
      <c r="B8" s="3">
        <v>9039.35</v>
      </c>
      <c r="C8" s="3">
        <v>9039.35</v>
      </c>
    </row>
    <row r="9" spans="1:3" x14ac:dyDescent="0.25">
      <c r="A9" s="2" t="s">
        <v>47</v>
      </c>
      <c r="B9" s="3">
        <v>8848.34</v>
      </c>
      <c r="C9" s="3">
        <v>8848.34</v>
      </c>
    </row>
    <row r="10" spans="1:3" x14ac:dyDescent="0.25">
      <c r="A10" s="2" t="s">
        <v>48</v>
      </c>
      <c r="B10" s="3">
        <v>8885.84</v>
      </c>
      <c r="C10" s="3">
        <v>8885.84</v>
      </c>
    </row>
    <row r="11" spans="1:3" x14ac:dyDescent="0.25">
      <c r="A11" s="2" t="s">
        <v>49</v>
      </c>
      <c r="B11" s="3"/>
      <c r="C11" s="3"/>
    </row>
    <row r="12" spans="1:3" x14ac:dyDescent="0.25">
      <c r="A12" s="2" t="s">
        <v>50</v>
      </c>
      <c r="B12" s="3"/>
      <c r="C12" s="3"/>
    </row>
    <row r="13" spans="1:3" x14ac:dyDescent="0.25">
      <c r="A13" s="2" t="s">
        <v>51</v>
      </c>
      <c r="B13" s="3"/>
      <c r="C13" s="3"/>
    </row>
    <row r="14" spans="1:3" x14ac:dyDescent="0.25">
      <c r="A14" s="2" t="s">
        <v>52</v>
      </c>
      <c r="B14" s="3"/>
      <c r="C14" s="3"/>
    </row>
    <row r="15" spans="1:3" x14ac:dyDescent="0.25">
      <c r="A15" s="2" t="s">
        <v>54</v>
      </c>
      <c r="B15" s="3"/>
      <c r="C15" s="3"/>
    </row>
    <row r="16" spans="1:3" x14ac:dyDescent="0.25">
      <c r="A16" s="2" t="s">
        <v>55</v>
      </c>
      <c r="B16" s="3"/>
      <c r="C16" s="3"/>
    </row>
    <row r="17" spans="1:3" x14ac:dyDescent="0.25">
      <c r="A17" s="2" t="s">
        <v>56</v>
      </c>
      <c r="B17" s="3"/>
      <c r="C17" s="3"/>
    </row>
    <row r="18" spans="1:3" x14ac:dyDescent="0.25">
      <c r="A18" s="2" t="s">
        <v>57</v>
      </c>
      <c r="B18" s="3"/>
      <c r="C18" s="3"/>
    </row>
    <row r="19" spans="1:3" x14ac:dyDescent="0.25">
      <c r="A19" s="2" t="s">
        <v>58</v>
      </c>
      <c r="B19" s="3"/>
      <c r="C19" s="3"/>
    </row>
    <row r="20" spans="1:3" x14ac:dyDescent="0.25">
      <c r="A20" s="2" t="s">
        <v>59</v>
      </c>
      <c r="B20" s="3"/>
      <c r="C20" s="3"/>
    </row>
    <row r="21" spans="1:3" x14ac:dyDescent="0.25">
      <c r="A21" s="2" t="s">
        <v>129</v>
      </c>
      <c r="B21" s="3">
        <v>51619.72</v>
      </c>
      <c r="C21" s="3">
        <v>51619.72</v>
      </c>
    </row>
    <row r="23" spans="1:3" x14ac:dyDescent="0.25">
      <c r="A23" s="1" t="s">
        <v>130</v>
      </c>
      <c r="B23" s="1" t="s">
        <v>131</v>
      </c>
    </row>
    <row r="24" spans="1:3" x14ac:dyDescent="0.25">
      <c r="A24" s="1" t="s">
        <v>132</v>
      </c>
      <c r="B24" t="s">
        <v>16</v>
      </c>
      <c r="C24" t="s">
        <v>129</v>
      </c>
    </row>
    <row r="25" spans="1:3" x14ac:dyDescent="0.25">
      <c r="A25" s="2" t="s">
        <v>39</v>
      </c>
      <c r="B25" s="3">
        <v>49040.409999999996</v>
      </c>
      <c r="C25" s="3">
        <v>49040.409999999996</v>
      </c>
    </row>
    <row r="26" spans="1:3" x14ac:dyDescent="0.25">
      <c r="A26" s="2" t="s">
        <v>44</v>
      </c>
      <c r="B26" s="3">
        <v>45885.58</v>
      </c>
      <c r="C26" s="3">
        <v>45885.58</v>
      </c>
    </row>
    <row r="27" spans="1:3" x14ac:dyDescent="0.25">
      <c r="A27" s="2" t="s">
        <v>45</v>
      </c>
      <c r="B27" s="3">
        <v>45106.95</v>
      </c>
      <c r="C27" s="3">
        <v>45106.95</v>
      </c>
    </row>
    <row r="28" spans="1:3" x14ac:dyDescent="0.25">
      <c r="A28" s="2" t="s">
        <v>46</v>
      </c>
      <c r="B28" s="3">
        <v>53276.37</v>
      </c>
      <c r="C28" s="3">
        <v>53276.37</v>
      </c>
    </row>
    <row r="29" spans="1:3" x14ac:dyDescent="0.25">
      <c r="A29" s="2" t="s">
        <v>47</v>
      </c>
      <c r="B29" s="3">
        <v>54095.55</v>
      </c>
      <c r="C29" s="3">
        <v>54095.55</v>
      </c>
    </row>
    <row r="30" spans="1:3" x14ac:dyDescent="0.25">
      <c r="A30" s="2" t="s">
        <v>48</v>
      </c>
      <c r="B30" s="3">
        <v>53807.75</v>
      </c>
      <c r="C30" s="3">
        <v>53807.75</v>
      </c>
    </row>
    <row r="31" spans="1:3" x14ac:dyDescent="0.25">
      <c r="A31" s="2" t="s">
        <v>49</v>
      </c>
      <c r="B31" s="3"/>
      <c r="C31" s="3"/>
    </row>
    <row r="32" spans="1:3" x14ac:dyDescent="0.25">
      <c r="A32" s="2" t="s">
        <v>50</v>
      </c>
      <c r="B32" s="3"/>
      <c r="C32" s="3"/>
    </row>
    <row r="33" spans="1:3" x14ac:dyDescent="0.25">
      <c r="A33" s="2" t="s">
        <v>51</v>
      </c>
      <c r="B33" s="3"/>
      <c r="C33" s="3"/>
    </row>
    <row r="34" spans="1:3" x14ac:dyDescent="0.25">
      <c r="A34" s="2" t="s">
        <v>52</v>
      </c>
      <c r="B34" s="3"/>
      <c r="C34" s="3"/>
    </row>
    <row r="35" spans="1:3" x14ac:dyDescent="0.25">
      <c r="A35" s="2" t="s">
        <v>54</v>
      </c>
      <c r="B35" s="3"/>
      <c r="C35" s="3"/>
    </row>
    <row r="36" spans="1:3" x14ac:dyDescent="0.25">
      <c r="A36" s="2" t="s">
        <v>55</v>
      </c>
      <c r="B36" s="3"/>
      <c r="C36" s="3"/>
    </row>
    <row r="37" spans="1:3" x14ac:dyDescent="0.25">
      <c r="A37" s="2" t="s">
        <v>56</v>
      </c>
      <c r="B37" s="3"/>
      <c r="C37" s="3"/>
    </row>
    <row r="38" spans="1:3" x14ac:dyDescent="0.25">
      <c r="A38" s="2" t="s">
        <v>57</v>
      </c>
      <c r="B38" s="3"/>
      <c r="C38" s="3"/>
    </row>
    <row r="39" spans="1:3" x14ac:dyDescent="0.25">
      <c r="A39" s="2" t="s">
        <v>58</v>
      </c>
      <c r="B39" s="3"/>
      <c r="C39" s="3"/>
    </row>
    <row r="40" spans="1:3" x14ac:dyDescent="0.25">
      <c r="A40" s="2" t="s">
        <v>59</v>
      </c>
      <c r="B40" s="3"/>
      <c r="C40" s="3"/>
    </row>
    <row r="41" spans="1:3" x14ac:dyDescent="0.25">
      <c r="A41" s="2" t="s">
        <v>129</v>
      </c>
      <c r="B41" s="3">
        <v>301212.61</v>
      </c>
      <c r="C41" s="3">
        <v>301212.61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CB485AA2C4B14D872D8CFA9ACC083A" ma:contentTypeVersion="17" ma:contentTypeDescription="Create a new document." ma:contentTypeScope="" ma:versionID="dae4bb3ecd398a898deeaf2aefbabb4d">
  <xsd:schema xmlns:xsd="http://www.w3.org/2001/XMLSchema" xmlns:xs="http://www.w3.org/2001/XMLSchema" xmlns:p="http://schemas.microsoft.com/office/2006/metadata/properties" xmlns:ns2="e084b833-ef84-4644-8b9c-eada05459cd4" xmlns:ns3="73568da6-1e5e-4441-9f53-11826369285f" targetNamespace="http://schemas.microsoft.com/office/2006/metadata/properties" ma:root="true" ma:fieldsID="ab00f6a5d37d9940328b55a46e6045ae" ns2:_="" ns3:_="">
    <xsd:import namespace="e084b833-ef84-4644-8b9c-eada05459cd4"/>
    <xsd:import namespace="73568da6-1e5e-4441-9f53-1182636928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Number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4b833-ef84-4644-8b9c-eada05459c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37a7c67-3747-4502-a4fd-6e7973e2366f}" ma:internalName="TaxCatchAll" ma:showField="CatchAllData" ma:web="e084b833-ef84-4644-8b9c-eada05459c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68da6-1e5e-4441-9f53-118263692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3d37cf7-f4a9-4cc1-bd5f-4466e8667a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Number" ma:index="22" nillable="true" ma:displayName="Number" ma:format="Dropdown" ma:internalName="Number" ma:percentage="FALSE">
      <xsd:simpleType>
        <xsd:restriction base="dms:Number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084b833-ef84-4644-8b9c-eada05459cd4">
      <UserInfo>
        <DisplayName>Pranjal Shah</DisplayName>
        <AccountId>42</AccountId>
        <AccountType/>
      </UserInfo>
    </SharedWithUsers>
    <TaxCatchAll xmlns="e084b833-ef84-4644-8b9c-eada05459cd4" xsi:nil="true"/>
    <lcf76f155ced4ddcb4097134ff3c332f xmlns="73568da6-1e5e-4441-9f53-11826369285f">
      <Terms xmlns="http://schemas.microsoft.com/office/infopath/2007/PartnerControls"/>
    </lcf76f155ced4ddcb4097134ff3c332f>
    <Number xmlns="73568da6-1e5e-4441-9f53-11826369285f" xsi:nil="true"/>
    <_Flow_SignoffStatus xmlns="73568da6-1e5e-4441-9f53-11826369285f" xsi:nil="true"/>
  </documentManagement>
</p:properties>
</file>

<file path=customXml/itemProps1.xml><?xml version="1.0" encoding="utf-8"?>
<ds:datastoreItem xmlns:ds="http://schemas.openxmlformats.org/officeDocument/2006/customXml" ds:itemID="{6B862957-E8AF-43A3-BAC2-93DF352D08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4b833-ef84-4644-8b9c-eada05459cd4"/>
    <ds:schemaRef ds:uri="73568da6-1e5e-4441-9f53-1182636928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9AAEE-7D03-42B6-9C1C-43F314E664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FAA126-628D-412F-BAD4-598C603DFBF2}">
  <ds:schemaRefs>
    <ds:schemaRef ds:uri="http://schemas.microsoft.com/office/2006/metadata/properties"/>
    <ds:schemaRef ds:uri="http://schemas.microsoft.com/office/infopath/2007/PartnerControls"/>
    <ds:schemaRef ds:uri="e084b833-ef84-4644-8b9c-eada05459cd4"/>
    <ds:schemaRef ds:uri="73568da6-1e5e-4441-9f53-1182636928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2025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HEER THAKOR</cp:lastModifiedBy>
  <cp:revision/>
  <dcterms:created xsi:type="dcterms:W3CDTF">2015-06-05T18:17:20Z</dcterms:created>
  <dcterms:modified xsi:type="dcterms:W3CDTF">2025-09-22T09:16:00Z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0x010100ADCB485AA2C4B14D872D8CFA9ACC083A</vt:lpwstr>
  </property>
  <property fmtid="{D5CDD505-2E9C-101B-9397-08002B2CF9AE}" pid="3" name="Order">
    <vt:r8>5800</vt:r8>
  </property>
  <property fmtid="{D5CDD505-2E9C-101B-9397-08002B2CF9AE}" pid="4" name="ComplianceAssetId">
    <vt:lpwstr/>
  </property>
  <property fmtid="{D5CDD505-2E9C-101B-9397-08002B2CF9AE}" pid="5" name="_activity">
    <vt:lpwstr>{"FileActivityType":"9","FileActivityTimeStamp":"2023-12-18T05:54:13.523Z","FileActivityUsersOnPage":[{"DisplayName":"Accounts Payable","Id":"ap@sagacityvp.com"},{"DisplayName":"Pranjal Shah","Id":"pshah@sagacityvp.com"}],"FileActivityNavigationId":null}</vt:lpwstr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</Properties>
</file>