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COGS\Sales\"/>
    </mc:Choice>
  </mc:AlternateContent>
  <xr:revisionPtr revIDLastSave="0" documentId="8_{DF6B2ADF-578C-422E-9FBC-3A598027251B}" xr6:coauthVersionLast="47" xr6:coauthVersionMax="47" xr10:uidLastSave="{00000000-0000-0000-0000-000000000000}"/>
  <bookViews>
    <workbookView xWindow="-120" yWindow="-120" windowWidth="20730" windowHeight="11040" xr2:uid="{826895F2-E7B0-4AEC-9D0D-A0B237E531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N4" i="1"/>
  <c r="L35" i="1"/>
  <c r="L39" i="1" s="1"/>
  <c r="K35" i="1"/>
  <c r="J35" i="1"/>
  <c r="J39" i="1" s="1"/>
  <c r="H35" i="1"/>
  <c r="G35" i="1"/>
  <c r="F34" i="1"/>
  <c r="D35" i="1"/>
  <c r="D37" i="1" s="1"/>
  <c r="A4" i="1"/>
  <c r="J43" i="1"/>
  <c r="K41" i="1"/>
  <c r="L40" i="1"/>
  <c r="L38" i="1"/>
  <c r="L43" i="1" s="1"/>
  <c r="K38" i="1"/>
  <c r="K43" i="1" s="1"/>
  <c r="J37" i="1"/>
  <c r="E37" i="1"/>
  <c r="K36" i="1"/>
  <c r="R35" i="1"/>
  <c r="S35" i="1"/>
  <c r="M35" i="1"/>
  <c r="M37" i="1" s="1"/>
  <c r="K37" i="1"/>
  <c r="J36" i="1"/>
  <c r="I35" i="1"/>
  <c r="G37" i="1"/>
  <c r="E35" i="1"/>
  <c r="E36" i="1" s="1"/>
  <c r="C35" i="1"/>
  <c r="C37" i="1" s="1"/>
  <c r="B35" i="1"/>
  <c r="B37" i="1" s="1"/>
  <c r="S34" i="1"/>
  <c r="N34" i="1"/>
  <c r="H34" i="1"/>
  <c r="O34" i="1"/>
  <c r="A34" i="1"/>
  <c r="S33" i="1"/>
  <c r="N33" i="1"/>
  <c r="O33" i="1" s="1"/>
  <c r="F33" i="1"/>
  <c r="A33" i="1"/>
  <c r="S32" i="1"/>
  <c r="N32" i="1"/>
  <c r="F32" i="1"/>
  <c r="O32" i="1" s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O28" i="1"/>
  <c r="N28" i="1"/>
  <c r="F28" i="1"/>
  <c r="A28" i="1"/>
  <c r="S27" i="1"/>
  <c r="N27" i="1"/>
  <c r="F27" i="1"/>
  <c r="O27" i="1" s="1"/>
  <c r="A27" i="1"/>
  <c r="S26" i="1"/>
  <c r="O26" i="1"/>
  <c r="N26" i="1"/>
  <c r="F26" i="1"/>
  <c r="A26" i="1"/>
  <c r="S25" i="1"/>
  <c r="N25" i="1"/>
  <c r="O25" i="1" s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N22" i="1"/>
  <c r="F22" i="1"/>
  <c r="O22" i="1" s="1"/>
  <c r="A22" i="1"/>
  <c r="S21" i="1"/>
  <c r="H21" i="1"/>
  <c r="N21" i="1" s="1"/>
  <c r="F21" i="1"/>
  <c r="O21" i="1" s="1"/>
  <c r="A21" i="1"/>
  <c r="S20" i="1"/>
  <c r="N20" i="1"/>
  <c r="H20" i="1"/>
  <c r="F20" i="1"/>
  <c r="O20" i="1" s="1"/>
  <c r="A20" i="1"/>
  <c r="S19" i="1"/>
  <c r="N19" i="1"/>
  <c r="H19" i="1"/>
  <c r="F19" i="1"/>
  <c r="O19" i="1" s="1"/>
  <c r="A19" i="1"/>
  <c r="S18" i="1"/>
  <c r="H18" i="1"/>
  <c r="N18" i="1" s="1"/>
  <c r="F18" i="1"/>
  <c r="O18" i="1" s="1"/>
  <c r="A18" i="1"/>
  <c r="S17" i="1"/>
  <c r="H17" i="1"/>
  <c r="N17" i="1" s="1"/>
  <c r="F17" i="1"/>
  <c r="O17" i="1" s="1"/>
  <c r="A17" i="1"/>
  <c r="S16" i="1"/>
  <c r="N16" i="1"/>
  <c r="H16" i="1"/>
  <c r="F16" i="1"/>
  <c r="O16" i="1" s="1"/>
  <c r="A16" i="1"/>
  <c r="S15" i="1"/>
  <c r="N15" i="1"/>
  <c r="H15" i="1"/>
  <c r="F15" i="1"/>
  <c r="O15" i="1" s="1"/>
  <c r="A15" i="1"/>
  <c r="S14" i="1"/>
  <c r="H14" i="1"/>
  <c r="N14" i="1" s="1"/>
  <c r="F14" i="1"/>
  <c r="O14" i="1" s="1"/>
  <c r="A14" i="1"/>
  <c r="S13" i="1"/>
  <c r="H13" i="1"/>
  <c r="N13" i="1" s="1"/>
  <c r="F13" i="1"/>
  <c r="O13" i="1" s="1"/>
  <c r="A13" i="1"/>
  <c r="S12" i="1"/>
  <c r="N12" i="1"/>
  <c r="H12" i="1"/>
  <c r="F12" i="1"/>
  <c r="O12" i="1" s="1"/>
  <c r="A12" i="1"/>
  <c r="S11" i="1"/>
  <c r="N11" i="1"/>
  <c r="H11" i="1"/>
  <c r="F11" i="1"/>
  <c r="O11" i="1" s="1"/>
  <c r="A11" i="1"/>
  <c r="S10" i="1"/>
  <c r="N10" i="1"/>
  <c r="F10" i="1"/>
  <c r="O10" i="1" s="1"/>
  <c r="A10" i="1"/>
  <c r="S9" i="1"/>
  <c r="H9" i="1"/>
  <c r="N9" i="1" s="1"/>
  <c r="O9" i="1" s="1"/>
  <c r="F9" i="1"/>
  <c r="A9" i="1"/>
  <c r="S8" i="1"/>
  <c r="H8" i="1"/>
  <c r="N8" i="1" s="1"/>
  <c r="O8" i="1" s="1"/>
  <c r="F8" i="1"/>
  <c r="A8" i="1"/>
  <c r="S7" i="1"/>
  <c r="H7" i="1"/>
  <c r="N7" i="1" s="1"/>
  <c r="O7" i="1" s="1"/>
  <c r="F7" i="1"/>
  <c r="A7" i="1"/>
  <c r="S6" i="1"/>
  <c r="H6" i="1"/>
  <c r="N6" i="1" s="1"/>
  <c r="F6" i="1"/>
  <c r="O6" i="1" s="1"/>
  <c r="A6" i="1"/>
  <c r="S5" i="1"/>
  <c r="H5" i="1"/>
  <c r="N5" i="1" s="1"/>
  <c r="O5" i="1" s="1"/>
  <c r="F5" i="1"/>
  <c r="A5" i="1"/>
  <c r="S4" i="1"/>
  <c r="H4" i="1"/>
  <c r="F4" i="1"/>
  <c r="F35" i="1" s="1"/>
  <c r="A3" i="1"/>
  <c r="L37" i="1" l="1"/>
  <c r="G36" i="1"/>
  <c r="K39" i="1"/>
  <c r="L36" i="1"/>
  <c r="B36" i="1"/>
  <c r="M36" i="1"/>
  <c r="C36" i="1"/>
  <c r="D36" i="1"/>
  <c r="O4" i="1" l="1"/>
  <c r="O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tc={455DEC47-EBC8-48D3-95F5-D92C6D357C1E}</author>
    <author>tc={07F77495-784F-44CC-80CC-516E279820C9}</author>
  </authors>
  <commentList>
    <comment ref="R6" authorId="0" shapeId="0" xr:uid="{7983F7E9-97C5-4C0F-B70B-0C27070C213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Equipment Move Charges Bernard
</t>
        </r>
      </text>
    </comment>
    <comment ref="R34" authorId="1" shapeId="0" xr:uid="{895078D4-E40F-48B2-9696-680E0225C3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buy boxes for Broad St</t>
        </r>
      </text>
    </comment>
  </commentList>
</comments>
</file>

<file path=xl/sharedStrings.xml><?xml version="1.0" encoding="utf-8"?>
<sst xmlns="http://schemas.openxmlformats.org/spreadsheetml/2006/main" count="30" uniqueCount="29">
  <si>
    <t xml:space="preserve"> BROAD STREET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</si>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</sst>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5" fillId="5" borderId="12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12" xfId="0" applyNumberFormat="1" applyFont="1" applyBorder="1" applyAlignment="1">
      <alignment horizontal="right"/>
    </xf>
    <xf numFmtId="165" fontId="5" fillId="0" borderId="15" xfId="0" applyNumberFormat="1" applyFont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165" fontId="5" fillId="0" borderId="16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0" fontId="6" fillId="2" borderId="19" xfId="0" applyFont="1" applyFill="1" applyBorder="1" applyAlignment="1">
      <alignment horizontal="center"/>
    </xf>
    <xf numFmtId="165" fontId="6" fillId="2" borderId="20" xfId="0" applyNumberFormat="1" applyFont="1" applyFill="1" applyBorder="1" applyAlignment="1">
      <alignment horizontal="right"/>
    </xf>
    <xf numFmtId="165" fontId="6" fillId="3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5" fillId="0" borderId="0" xfId="0" applyNumberFormat="1" applyFont="1" applyAlignment="1">
      <alignment horizontal="right"/>
    </xf>
    <xf numFmtId="0" fontId="0" fillId="6" borderId="11" xfId="0" applyFill="1" applyBorder="1" applyAlignment="1">
      <alignment horizontal="center"/>
    </xf>
    <xf numFmtId="165" fontId="0" fillId="6" borderId="22" xfId="0" applyNumberFormat="1" applyFill="1" applyBorder="1" applyAlignment="1">
      <alignment horizontal="center"/>
    </xf>
    <xf numFmtId="165" fontId="0" fillId="6" borderId="2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0CB9-50DD-485B-B353-3469E2CAA13B}">
  <dimension ref="A1:S44"/>
  <sheetViews>
    <sheetView tabSelected="1" topLeftCell="D1" workbookViewId="0">
      <selection activeCell="P36" sqref="P36"/>
    </sheetView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8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1402.38</v>
      </c>
      <c r="C4" s="13">
        <v>862.96</v>
      </c>
      <c r="D4" s="14">
        <v>112.37</v>
      </c>
      <c r="E4" s="14">
        <v>14.61</v>
      </c>
      <c r="F4" s="15">
        <f>SUM(B4:E4)</f>
        <v>2392.3200000000002</v>
      </c>
      <c r="G4" s="14">
        <v>358.56</v>
      </c>
      <c r="H4" s="14">
        <f>1177.79-17</f>
        <v>1160.79</v>
      </c>
      <c r="I4" s="14">
        <v>0</v>
      </c>
      <c r="J4" s="14">
        <v>511.4</v>
      </c>
      <c r="K4" s="14">
        <v>47.06</v>
      </c>
      <c r="L4" s="14">
        <v>314.51</v>
      </c>
      <c r="M4" s="14">
        <v>0</v>
      </c>
      <c r="N4" s="16">
        <f>SUM(G4:M4)</f>
        <v>2392.3199999999997</v>
      </c>
      <c r="O4" s="16">
        <f t="shared" ref="O4:O34" si="0">+F4-N4</f>
        <v>0</v>
      </c>
      <c r="P4" s="14"/>
      <c r="Q4" s="17"/>
      <c r="R4" s="18"/>
      <c r="S4" s="19">
        <f t="shared" ref="S4:S35" si="1">P4-G4-R4</f>
        <v>-358.56</v>
      </c>
    </row>
    <row r="5" spans="1:19" x14ac:dyDescent="0.25">
      <c r="A5" s="12">
        <f>'[1]Cash Variance'!A4</f>
        <v>45840</v>
      </c>
      <c r="B5" s="13">
        <v>1438.83</v>
      </c>
      <c r="C5" s="13">
        <v>843.84</v>
      </c>
      <c r="D5" s="14">
        <v>115.32</v>
      </c>
      <c r="E5" s="14">
        <v>5.2</v>
      </c>
      <c r="F5" s="15">
        <f t="shared" ref="F5:F34" si="2">SUM(B5:E5)</f>
        <v>2403.19</v>
      </c>
      <c r="G5" s="14">
        <v>349.09</v>
      </c>
      <c r="H5" s="14">
        <f>1213.26-12.36</f>
        <v>1200.9000000000001</v>
      </c>
      <c r="I5" s="14">
        <v>6.47</v>
      </c>
      <c r="J5" s="14">
        <v>603.79</v>
      </c>
      <c r="K5" s="14">
        <v>0</v>
      </c>
      <c r="L5" s="14">
        <v>242.94</v>
      </c>
      <c r="M5" s="14">
        <v>0</v>
      </c>
      <c r="N5" s="16">
        <f t="shared" ref="N4:N34" si="3">SUM(G5:M5)</f>
        <v>2403.19</v>
      </c>
      <c r="O5" s="16">
        <f t="shared" si="0"/>
        <v>0</v>
      </c>
      <c r="P5" s="14">
        <v>345</v>
      </c>
      <c r="Q5" s="17">
        <v>45845</v>
      </c>
      <c r="R5" s="18"/>
      <c r="S5" s="19">
        <f t="shared" si="1"/>
        <v>-4.089999999999975</v>
      </c>
    </row>
    <row r="6" spans="1:19" x14ac:dyDescent="0.25">
      <c r="A6" s="12">
        <f>'[1]Cash Variance'!A5</f>
        <v>45841</v>
      </c>
      <c r="B6" s="13">
        <v>1614.23</v>
      </c>
      <c r="C6" s="13">
        <v>640.4</v>
      </c>
      <c r="D6" s="14">
        <v>129.37</v>
      </c>
      <c r="E6" s="14">
        <v>11.83</v>
      </c>
      <c r="F6" s="15">
        <f t="shared" si="2"/>
        <v>2395.83</v>
      </c>
      <c r="G6" s="14">
        <v>545.98</v>
      </c>
      <c r="H6" s="14">
        <f>1218.94-18.28</f>
        <v>1200.6600000000001</v>
      </c>
      <c r="I6" s="14">
        <v>0</v>
      </c>
      <c r="J6" s="14">
        <v>387.23</v>
      </c>
      <c r="K6" s="14">
        <v>69.66</v>
      </c>
      <c r="L6" s="14">
        <v>192.3</v>
      </c>
      <c r="M6" s="14">
        <v>0</v>
      </c>
      <c r="N6" s="16">
        <f t="shared" si="3"/>
        <v>2395.83</v>
      </c>
      <c r="O6" s="16">
        <f t="shared" si="0"/>
        <v>0</v>
      </c>
      <c r="P6" s="14">
        <v>545</v>
      </c>
      <c r="Q6" s="17">
        <v>45845</v>
      </c>
      <c r="R6" s="18"/>
      <c r="S6" s="19">
        <f t="shared" si="1"/>
        <v>-0.98000000000001819</v>
      </c>
    </row>
    <row r="7" spans="1:19" x14ac:dyDescent="0.25">
      <c r="A7" s="12">
        <f>'[1]Cash Variance'!A6</f>
        <v>45842</v>
      </c>
      <c r="B7" s="13">
        <v>559.04999999999995</v>
      </c>
      <c r="C7" s="13">
        <v>552.55999999999995</v>
      </c>
      <c r="D7" s="14">
        <v>44.78</v>
      </c>
      <c r="E7" s="14">
        <v>7.23</v>
      </c>
      <c r="F7" s="15">
        <f t="shared" si="2"/>
        <v>1163.6199999999999</v>
      </c>
      <c r="G7" s="14">
        <v>105.01</v>
      </c>
      <c r="H7" s="14">
        <f>506.05-2.5</f>
        <v>503.55</v>
      </c>
      <c r="I7" s="14">
        <v>0</v>
      </c>
      <c r="J7" s="14">
        <v>354.64</v>
      </c>
      <c r="K7" s="14">
        <v>108.78</v>
      </c>
      <c r="L7" s="14">
        <v>91.64</v>
      </c>
      <c r="M7" s="14">
        <v>0</v>
      </c>
      <c r="N7" s="16">
        <f t="shared" si="3"/>
        <v>1163.6200000000001</v>
      </c>
      <c r="O7" s="16">
        <f t="shared" si="0"/>
        <v>0</v>
      </c>
      <c r="P7" s="20">
        <v>105</v>
      </c>
      <c r="Q7" s="17">
        <v>45845</v>
      </c>
      <c r="R7" s="18"/>
      <c r="S7" s="19">
        <f t="shared" si="1"/>
        <v>-1.0000000000005116E-2</v>
      </c>
    </row>
    <row r="8" spans="1:19" x14ac:dyDescent="0.25">
      <c r="A8" s="12">
        <f>'[1]Cash Variance'!A7</f>
        <v>45843</v>
      </c>
      <c r="B8" s="13">
        <v>1503.11</v>
      </c>
      <c r="C8" s="13">
        <v>1050.72</v>
      </c>
      <c r="D8" s="14">
        <v>120.46</v>
      </c>
      <c r="E8" s="14">
        <v>0</v>
      </c>
      <c r="F8" s="15">
        <f t="shared" si="2"/>
        <v>2674.29</v>
      </c>
      <c r="G8" s="14">
        <v>579.04999999999995</v>
      </c>
      <c r="H8" s="14">
        <f>1064.84-20.18</f>
        <v>1044.6599999999999</v>
      </c>
      <c r="I8" s="14">
        <v>0</v>
      </c>
      <c r="J8" s="14">
        <v>703.07</v>
      </c>
      <c r="K8" s="14">
        <v>92.11</v>
      </c>
      <c r="L8" s="14">
        <v>255.4</v>
      </c>
      <c r="M8" s="14">
        <v>0</v>
      </c>
      <c r="N8" s="16">
        <f t="shared" si="3"/>
        <v>2674.29</v>
      </c>
      <c r="O8" s="16">
        <f t="shared" si="0"/>
        <v>0</v>
      </c>
      <c r="P8" s="20">
        <v>579</v>
      </c>
      <c r="Q8" s="17">
        <v>45846</v>
      </c>
      <c r="R8" s="18"/>
      <c r="S8" s="19">
        <f t="shared" si="1"/>
        <v>-4.9999999999954525E-2</v>
      </c>
    </row>
    <row r="9" spans="1:19" x14ac:dyDescent="0.25">
      <c r="A9" s="12">
        <f>'[1]Cash Variance'!A8</f>
        <v>45844</v>
      </c>
      <c r="B9" s="13">
        <v>1288.2</v>
      </c>
      <c r="C9" s="13">
        <v>761.76</v>
      </c>
      <c r="D9" s="14">
        <v>103.21</v>
      </c>
      <c r="E9" s="14">
        <v>6.6</v>
      </c>
      <c r="F9" s="15">
        <f t="shared" si="2"/>
        <v>2159.77</v>
      </c>
      <c r="G9" s="14">
        <v>277.82</v>
      </c>
      <c r="H9" s="14">
        <f>1126.07-9</f>
        <v>1117.07</v>
      </c>
      <c r="I9" s="14">
        <v>8.09</v>
      </c>
      <c r="J9" s="14">
        <v>489.73</v>
      </c>
      <c r="K9" s="14">
        <v>97.74</v>
      </c>
      <c r="L9" s="14">
        <v>169.32</v>
      </c>
      <c r="M9" s="14">
        <v>0</v>
      </c>
      <c r="N9" s="16">
        <f t="shared" si="3"/>
        <v>2159.77</v>
      </c>
      <c r="O9" s="16">
        <f t="shared" si="0"/>
        <v>0</v>
      </c>
      <c r="P9" s="14">
        <v>277</v>
      </c>
      <c r="Q9" s="17">
        <v>45846</v>
      </c>
      <c r="R9" s="18"/>
      <c r="S9" s="19">
        <f t="shared" si="1"/>
        <v>-0.81999999999999318</v>
      </c>
    </row>
    <row r="10" spans="1:19" x14ac:dyDescent="0.25">
      <c r="A10" s="12">
        <f>'[1]Cash Variance'!A9</f>
        <v>45845</v>
      </c>
      <c r="B10" s="13">
        <v>1416.83</v>
      </c>
      <c r="C10" s="13">
        <v>459.73</v>
      </c>
      <c r="D10" s="14">
        <v>113.59</v>
      </c>
      <c r="E10" s="14">
        <v>4</v>
      </c>
      <c r="F10" s="15">
        <f t="shared" si="2"/>
        <v>1994.1499999999999</v>
      </c>
      <c r="G10" s="14">
        <v>556.88</v>
      </c>
      <c r="H10" s="14">
        <v>986.51</v>
      </c>
      <c r="I10" s="14">
        <v>0</v>
      </c>
      <c r="J10" s="14">
        <v>374.51</v>
      </c>
      <c r="K10" s="14">
        <v>17.13</v>
      </c>
      <c r="L10" s="14">
        <v>59.11</v>
      </c>
      <c r="M10" s="14">
        <v>0</v>
      </c>
      <c r="N10" s="16">
        <f t="shared" si="3"/>
        <v>1994.1399999999999</v>
      </c>
      <c r="O10" s="16">
        <f t="shared" si="0"/>
        <v>9.9999999999909051E-3</v>
      </c>
      <c r="P10" s="14">
        <v>556</v>
      </c>
      <c r="Q10" s="17">
        <v>45852</v>
      </c>
      <c r="R10" s="18"/>
      <c r="S10" s="19">
        <f t="shared" si="1"/>
        <v>-0.87999999999999545</v>
      </c>
    </row>
    <row r="11" spans="1:19" x14ac:dyDescent="0.25">
      <c r="A11" s="12">
        <f>'[1]Cash Variance'!A10</f>
        <v>45846</v>
      </c>
      <c r="B11" s="13">
        <v>1173.68</v>
      </c>
      <c r="C11" s="13">
        <v>603.95000000000005</v>
      </c>
      <c r="D11" s="21">
        <v>94.07</v>
      </c>
      <c r="E11" s="14">
        <v>12</v>
      </c>
      <c r="F11" s="15">
        <f t="shared" si="2"/>
        <v>1883.7</v>
      </c>
      <c r="G11" s="14">
        <v>352.32</v>
      </c>
      <c r="H11" s="14">
        <f>920.37-8.74</f>
        <v>911.63</v>
      </c>
      <c r="I11" s="14">
        <v>20.49</v>
      </c>
      <c r="J11" s="14">
        <v>405.79</v>
      </c>
      <c r="K11" s="14">
        <v>0</v>
      </c>
      <c r="L11" s="14">
        <v>193.47</v>
      </c>
      <c r="M11" s="14">
        <v>0</v>
      </c>
      <c r="N11" s="16">
        <f t="shared" si="3"/>
        <v>1883.7</v>
      </c>
      <c r="O11" s="16">
        <f t="shared" si="0"/>
        <v>0</v>
      </c>
      <c r="P11" s="14">
        <v>352</v>
      </c>
      <c r="Q11" s="17">
        <v>45852</v>
      </c>
      <c r="R11" s="18"/>
      <c r="S11" s="19">
        <f t="shared" si="1"/>
        <v>-0.31999999999999318</v>
      </c>
    </row>
    <row r="12" spans="1:19" x14ac:dyDescent="0.25">
      <c r="A12" s="12">
        <f>'[1]Cash Variance'!A11</f>
        <v>45847</v>
      </c>
      <c r="B12" s="13">
        <v>1406.23</v>
      </c>
      <c r="C12" s="13">
        <v>787.73</v>
      </c>
      <c r="D12" s="21">
        <v>112.68</v>
      </c>
      <c r="E12" s="14">
        <v>10.4</v>
      </c>
      <c r="F12" s="15">
        <f t="shared" si="2"/>
        <v>2317.04</v>
      </c>
      <c r="G12" s="14">
        <v>379.83</v>
      </c>
      <c r="H12" s="14">
        <f>1156.96-12.48</f>
        <v>1144.48</v>
      </c>
      <c r="I12" s="14">
        <v>0</v>
      </c>
      <c r="J12" s="14">
        <v>551.46</v>
      </c>
      <c r="K12" s="14">
        <v>59.7</v>
      </c>
      <c r="L12" s="14">
        <v>181.57</v>
      </c>
      <c r="M12" s="14">
        <v>0</v>
      </c>
      <c r="N12" s="16">
        <f t="shared" si="3"/>
        <v>2317.04</v>
      </c>
      <c r="O12" s="16">
        <f t="shared" si="0"/>
        <v>0</v>
      </c>
      <c r="P12" s="14">
        <v>379</v>
      </c>
      <c r="Q12" s="17">
        <v>45852</v>
      </c>
      <c r="R12" s="18"/>
      <c r="S12" s="19">
        <f t="shared" si="1"/>
        <v>-0.82999999999998408</v>
      </c>
    </row>
    <row r="13" spans="1:19" x14ac:dyDescent="0.25">
      <c r="A13" s="12">
        <f>'[1]Cash Variance'!A12</f>
        <v>45848</v>
      </c>
      <c r="B13" s="13">
        <v>1266.92</v>
      </c>
      <c r="C13" s="13">
        <v>608.45000000000005</v>
      </c>
      <c r="D13" s="14">
        <v>101.52</v>
      </c>
      <c r="E13" s="14">
        <v>5.3</v>
      </c>
      <c r="F13" s="15">
        <f t="shared" si="2"/>
        <v>1982.19</v>
      </c>
      <c r="G13" s="14">
        <v>357.57</v>
      </c>
      <c r="H13" s="14">
        <f>1018.15-12.45</f>
        <v>1005.6999999999999</v>
      </c>
      <c r="I13" s="14">
        <v>0</v>
      </c>
      <c r="J13" s="14">
        <v>451.17</v>
      </c>
      <c r="K13" s="14">
        <v>0</v>
      </c>
      <c r="L13" s="14">
        <v>167.75</v>
      </c>
      <c r="M13" s="14">
        <v>0</v>
      </c>
      <c r="N13" s="16">
        <f t="shared" si="3"/>
        <v>1982.19</v>
      </c>
      <c r="O13" s="16">
        <f t="shared" si="0"/>
        <v>0</v>
      </c>
      <c r="P13" s="14">
        <v>357</v>
      </c>
      <c r="Q13" s="17">
        <v>45852</v>
      </c>
      <c r="R13" s="18"/>
      <c r="S13" s="19">
        <f t="shared" si="1"/>
        <v>-0.56999999999999318</v>
      </c>
    </row>
    <row r="14" spans="1:19" x14ac:dyDescent="0.25">
      <c r="A14" s="12">
        <f>'[1]Cash Variance'!A13</f>
        <v>45849</v>
      </c>
      <c r="B14" s="13">
        <v>1888.3</v>
      </c>
      <c r="C14" s="13">
        <v>1178.9100000000001</v>
      </c>
      <c r="D14" s="14">
        <v>151.32</v>
      </c>
      <c r="E14" s="14">
        <v>0</v>
      </c>
      <c r="F14" s="15">
        <f t="shared" si="2"/>
        <v>3218.53</v>
      </c>
      <c r="G14" s="14">
        <v>484.9</v>
      </c>
      <c r="H14" s="14">
        <f>1578.13-7.4</f>
        <v>1570.73</v>
      </c>
      <c r="I14" s="14">
        <v>0</v>
      </c>
      <c r="J14" s="14">
        <v>824.95</v>
      </c>
      <c r="K14" s="14">
        <v>91.33</v>
      </c>
      <c r="L14" s="14">
        <v>246.62</v>
      </c>
      <c r="M14" s="14">
        <v>0</v>
      </c>
      <c r="N14" s="16">
        <f t="shared" si="3"/>
        <v>3218.5299999999997</v>
      </c>
      <c r="O14" s="16">
        <f t="shared" si="0"/>
        <v>0</v>
      </c>
      <c r="P14" s="14">
        <v>480</v>
      </c>
      <c r="Q14" s="17">
        <v>45866</v>
      </c>
      <c r="R14" s="18"/>
      <c r="S14" s="19">
        <f t="shared" si="1"/>
        <v>-4.8999999999999773</v>
      </c>
    </row>
    <row r="15" spans="1:19" x14ac:dyDescent="0.25">
      <c r="A15" s="12">
        <f>'[1]Cash Variance'!A14</f>
        <v>45850</v>
      </c>
      <c r="B15" s="13">
        <v>1182.3399999999999</v>
      </c>
      <c r="C15" s="13">
        <v>1025.97</v>
      </c>
      <c r="D15" s="14">
        <v>94.75</v>
      </c>
      <c r="E15" s="14">
        <v>23</v>
      </c>
      <c r="F15" s="15">
        <f t="shared" si="2"/>
        <v>2326.06</v>
      </c>
      <c r="G15" s="14">
        <v>253.59</v>
      </c>
      <c r="H15" s="14">
        <f>1058.35-22.5</f>
        <v>1035.8499999999999</v>
      </c>
      <c r="I15" s="14">
        <v>0</v>
      </c>
      <c r="J15" s="14">
        <v>629.28</v>
      </c>
      <c r="K15" s="14">
        <v>51.57</v>
      </c>
      <c r="L15" s="14">
        <v>355.77</v>
      </c>
      <c r="M15" s="14">
        <v>0</v>
      </c>
      <c r="N15" s="16">
        <f t="shared" si="3"/>
        <v>2326.0599999999995</v>
      </c>
      <c r="O15" s="16">
        <f t="shared" si="0"/>
        <v>0</v>
      </c>
      <c r="P15" s="14">
        <v>253</v>
      </c>
      <c r="Q15" s="17">
        <v>45866</v>
      </c>
      <c r="R15" s="18"/>
      <c r="S15" s="19">
        <f t="shared" si="1"/>
        <v>-0.59000000000000341</v>
      </c>
    </row>
    <row r="16" spans="1:19" x14ac:dyDescent="0.25">
      <c r="A16" s="12">
        <f>'[1]Cash Variance'!A15</f>
        <v>45851</v>
      </c>
      <c r="B16" s="13">
        <v>1591.73</v>
      </c>
      <c r="C16" s="13">
        <v>927.43</v>
      </c>
      <c r="D16" s="14">
        <v>127.52</v>
      </c>
      <c r="E16" s="14">
        <v>4.7300000000000004</v>
      </c>
      <c r="F16" s="15">
        <f t="shared" si="2"/>
        <v>2651.41</v>
      </c>
      <c r="G16" s="14">
        <v>483.7</v>
      </c>
      <c r="H16" s="14">
        <f>1242.77-16.13</f>
        <v>1226.6399999999999</v>
      </c>
      <c r="I16" s="14">
        <v>33.979999999999997</v>
      </c>
      <c r="J16" s="14">
        <v>607.29999999999995</v>
      </c>
      <c r="K16" s="14">
        <v>91.5</v>
      </c>
      <c r="L16" s="14">
        <v>208.29</v>
      </c>
      <c r="M16" s="14">
        <v>0</v>
      </c>
      <c r="N16" s="16">
        <f t="shared" si="3"/>
        <v>2651.41</v>
      </c>
      <c r="O16" s="16">
        <f t="shared" si="0"/>
        <v>0</v>
      </c>
      <c r="P16" s="14"/>
      <c r="Q16" s="17"/>
      <c r="R16" s="18"/>
      <c r="S16" s="19">
        <f t="shared" si="1"/>
        <v>-483.7</v>
      </c>
    </row>
    <row r="17" spans="1:19" x14ac:dyDescent="0.25">
      <c r="A17" s="12">
        <f>'[1]Cash Variance'!A16</f>
        <v>45852</v>
      </c>
      <c r="B17" s="13">
        <v>1010.65</v>
      </c>
      <c r="C17" s="13">
        <v>519.36</v>
      </c>
      <c r="D17" s="14">
        <v>81</v>
      </c>
      <c r="E17" s="14">
        <v>4</v>
      </c>
      <c r="F17" s="15">
        <f t="shared" si="2"/>
        <v>1615.01</v>
      </c>
      <c r="G17" s="14">
        <v>320.41000000000003</v>
      </c>
      <c r="H17" s="14">
        <f>777.74-8.78</f>
        <v>768.96</v>
      </c>
      <c r="I17" s="14">
        <v>0</v>
      </c>
      <c r="J17" s="14">
        <v>357.76</v>
      </c>
      <c r="K17" s="14">
        <v>38.22</v>
      </c>
      <c r="L17" s="14">
        <v>129.66</v>
      </c>
      <c r="M17" s="14">
        <v>0</v>
      </c>
      <c r="N17" s="16">
        <f t="shared" si="3"/>
        <v>1615.0100000000002</v>
      </c>
      <c r="O17" s="16">
        <f t="shared" si="0"/>
        <v>0</v>
      </c>
      <c r="P17" s="14">
        <v>320</v>
      </c>
      <c r="Q17" s="17">
        <v>45866</v>
      </c>
      <c r="R17" s="18"/>
      <c r="S17" s="19">
        <f t="shared" si="1"/>
        <v>-0.41000000000002501</v>
      </c>
    </row>
    <row r="18" spans="1:19" x14ac:dyDescent="0.25">
      <c r="A18" s="12">
        <f>'[1]Cash Variance'!A17</f>
        <v>45853</v>
      </c>
      <c r="B18" s="13">
        <v>897.98</v>
      </c>
      <c r="C18" s="13">
        <v>566.77</v>
      </c>
      <c r="D18" s="14">
        <v>71.959999999999994</v>
      </c>
      <c r="E18" s="14">
        <v>5</v>
      </c>
      <c r="F18" s="15">
        <f t="shared" si="2"/>
        <v>1541.71</v>
      </c>
      <c r="G18" s="14">
        <v>305.99</v>
      </c>
      <c r="H18" s="14">
        <f>655.05-4.5</f>
        <v>650.54999999999995</v>
      </c>
      <c r="I18" s="14">
        <v>22.88</v>
      </c>
      <c r="J18" s="14">
        <v>348.79</v>
      </c>
      <c r="K18" s="14">
        <v>17.670000000000002</v>
      </c>
      <c r="L18" s="14">
        <v>195.83</v>
      </c>
      <c r="M18" s="14">
        <v>0</v>
      </c>
      <c r="N18" s="16">
        <f t="shared" si="3"/>
        <v>1541.71</v>
      </c>
      <c r="O18" s="16">
        <f t="shared" si="0"/>
        <v>0</v>
      </c>
      <c r="P18" s="14">
        <v>305</v>
      </c>
      <c r="Q18" s="17">
        <v>45866</v>
      </c>
      <c r="R18" s="18"/>
      <c r="S18" s="19">
        <f t="shared" si="1"/>
        <v>-0.99000000000000909</v>
      </c>
    </row>
    <row r="19" spans="1:19" x14ac:dyDescent="0.25">
      <c r="A19" s="12">
        <f>'[1]Cash Variance'!A18</f>
        <v>45854</v>
      </c>
      <c r="B19" s="13">
        <v>983.88</v>
      </c>
      <c r="C19" s="13">
        <v>722.57</v>
      </c>
      <c r="D19" s="14">
        <v>78.87</v>
      </c>
      <c r="E19" s="14">
        <v>6.7</v>
      </c>
      <c r="F19" s="15">
        <f t="shared" si="2"/>
        <v>1792.0200000000002</v>
      </c>
      <c r="G19" s="14">
        <v>146.19999999999999</v>
      </c>
      <c r="H19" s="14">
        <f>927.28-4.97</f>
        <v>922.31</v>
      </c>
      <c r="I19" s="14">
        <v>0</v>
      </c>
      <c r="J19" s="14">
        <v>562.19000000000005</v>
      </c>
      <c r="K19" s="14">
        <v>0</v>
      </c>
      <c r="L19" s="14">
        <v>161.32</v>
      </c>
      <c r="M19" s="14">
        <v>0</v>
      </c>
      <c r="N19" s="16">
        <f t="shared" si="3"/>
        <v>1792.02</v>
      </c>
      <c r="O19" s="16">
        <f t="shared" si="0"/>
        <v>0</v>
      </c>
      <c r="P19" s="14">
        <v>145</v>
      </c>
      <c r="Q19" s="17">
        <v>45866</v>
      </c>
      <c r="R19" s="18"/>
      <c r="S19" s="19">
        <f t="shared" si="1"/>
        <v>-1.1999999999999886</v>
      </c>
    </row>
    <row r="20" spans="1:19" x14ac:dyDescent="0.25">
      <c r="A20" s="12">
        <f>'[1]Cash Variance'!A19</f>
        <v>45855</v>
      </c>
      <c r="B20" s="13">
        <v>1546.6</v>
      </c>
      <c r="C20" s="13">
        <v>563.41</v>
      </c>
      <c r="D20" s="14">
        <v>123.98</v>
      </c>
      <c r="E20" s="14">
        <v>4</v>
      </c>
      <c r="F20" s="15">
        <f t="shared" si="2"/>
        <v>2237.9899999999998</v>
      </c>
      <c r="G20" s="14">
        <v>493.12</v>
      </c>
      <c r="H20" s="14">
        <f>1160.58-6.19</f>
        <v>1154.3899999999999</v>
      </c>
      <c r="I20" s="14">
        <v>32.36</v>
      </c>
      <c r="J20" s="14">
        <v>395.09</v>
      </c>
      <c r="K20" s="14">
        <v>20.3</v>
      </c>
      <c r="L20" s="14">
        <v>142.72999999999999</v>
      </c>
      <c r="M20" s="14">
        <v>0</v>
      </c>
      <c r="N20" s="16">
        <f t="shared" si="3"/>
        <v>2237.9899999999998</v>
      </c>
      <c r="O20" s="16">
        <f t="shared" si="0"/>
        <v>0</v>
      </c>
      <c r="P20" s="14">
        <v>490</v>
      </c>
      <c r="Q20" s="17">
        <v>45866</v>
      </c>
      <c r="R20" s="18"/>
      <c r="S20" s="19">
        <f t="shared" si="1"/>
        <v>-3.1200000000000045</v>
      </c>
    </row>
    <row r="21" spans="1:19" x14ac:dyDescent="0.25">
      <c r="A21" s="12">
        <f>'[1]Cash Variance'!A20</f>
        <v>45856</v>
      </c>
      <c r="B21" s="13">
        <v>1830.52</v>
      </c>
      <c r="C21" s="13">
        <v>660.46</v>
      </c>
      <c r="D21" s="14">
        <v>146.76</v>
      </c>
      <c r="E21" s="14">
        <v>14.21</v>
      </c>
      <c r="F21" s="15">
        <f t="shared" si="2"/>
        <v>2651.95</v>
      </c>
      <c r="G21" s="14">
        <v>481.88</v>
      </c>
      <c r="H21" s="14">
        <f>1514.1-29.5</f>
        <v>1484.6</v>
      </c>
      <c r="I21" s="14">
        <v>0</v>
      </c>
      <c r="J21" s="14">
        <v>272.75</v>
      </c>
      <c r="K21" s="14">
        <v>124.31</v>
      </c>
      <c r="L21" s="14">
        <v>288.41000000000003</v>
      </c>
      <c r="M21" s="14">
        <v>0</v>
      </c>
      <c r="N21" s="16">
        <f t="shared" si="3"/>
        <v>2651.95</v>
      </c>
      <c r="O21" s="16">
        <f t="shared" si="0"/>
        <v>0</v>
      </c>
      <c r="P21" s="14"/>
      <c r="Q21" s="17"/>
      <c r="R21" s="18"/>
      <c r="S21" s="19">
        <f t="shared" si="1"/>
        <v>-481.88</v>
      </c>
    </row>
    <row r="22" spans="1:19" x14ac:dyDescent="0.25">
      <c r="A22" s="12">
        <f>'[1]Cash Variance'!A21</f>
        <v>45857</v>
      </c>
      <c r="B22" s="13">
        <v>1883.96</v>
      </c>
      <c r="C22" s="13">
        <v>880.75</v>
      </c>
      <c r="D22" s="14">
        <v>150.97</v>
      </c>
      <c r="E22" s="14">
        <v>11.68</v>
      </c>
      <c r="F22" s="15">
        <f t="shared" si="2"/>
        <v>2927.3599999999997</v>
      </c>
      <c r="G22" s="14">
        <v>595.29999999999995</v>
      </c>
      <c r="H22" s="14">
        <v>1440.5</v>
      </c>
      <c r="I22" s="14">
        <v>16.18</v>
      </c>
      <c r="J22" s="14">
        <v>684.27</v>
      </c>
      <c r="K22" s="14">
        <v>92.69</v>
      </c>
      <c r="L22" s="14">
        <v>98.4</v>
      </c>
      <c r="M22" s="14">
        <v>0</v>
      </c>
      <c r="N22" s="16">
        <f t="shared" si="3"/>
        <v>2927.34</v>
      </c>
      <c r="O22" s="16">
        <f t="shared" si="0"/>
        <v>1.9999999999527063E-2</v>
      </c>
      <c r="P22" s="14">
        <v>595</v>
      </c>
      <c r="Q22" s="17">
        <v>45866</v>
      </c>
      <c r="R22" s="18"/>
      <c r="S22" s="19">
        <f t="shared" si="1"/>
        <v>-0.29999999999995453</v>
      </c>
    </row>
    <row r="23" spans="1:19" x14ac:dyDescent="0.25">
      <c r="A23" s="12">
        <f>'[1]Cash Variance'!A22</f>
        <v>45858</v>
      </c>
      <c r="B23" s="13">
        <v>1097.45</v>
      </c>
      <c r="C23" s="13">
        <v>548.37</v>
      </c>
      <c r="D23" s="14">
        <v>87.93</v>
      </c>
      <c r="E23" s="14">
        <v>7.82</v>
      </c>
      <c r="F23" s="15">
        <f t="shared" si="2"/>
        <v>1741.5700000000002</v>
      </c>
      <c r="G23" s="14">
        <v>222.33</v>
      </c>
      <c r="H23" s="14">
        <v>973.35</v>
      </c>
      <c r="I23" s="14">
        <v>0</v>
      </c>
      <c r="J23" s="14">
        <v>383.01</v>
      </c>
      <c r="K23" s="14">
        <v>51.86</v>
      </c>
      <c r="L23" s="14">
        <v>111</v>
      </c>
      <c r="M23" s="14">
        <v>0</v>
      </c>
      <c r="N23" s="16">
        <f t="shared" si="3"/>
        <v>1741.55</v>
      </c>
      <c r="O23" s="16">
        <f t="shared" si="0"/>
        <v>2.0000000000209184E-2</v>
      </c>
      <c r="P23" s="14">
        <v>220</v>
      </c>
      <c r="Q23" s="17">
        <v>45866</v>
      </c>
      <c r="R23" s="18"/>
      <c r="S23" s="19">
        <f t="shared" si="1"/>
        <v>-2.3300000000000125</v>
      </c>
    </row>
    <row r="24" spans="1:19" x14ac:dyDescent="0.25">
      <c r="A24" s="12">
        <f>'[1]Cash Variance'!A23</f>
        <v>45859</v>
      </c>
      <c r="B24" s="13">
        <v>1392.36</v>
      </c>
      <c r="C24" s="13">
        <v>622.08000000000004</v>
      </c>
      <c r="D24" s="14">
        <v>111.58</v>
      </c>
      <c r="E24" s="14">
        <v>9.52</v>
      </c>
      <c r="F24" s="15">
        <f t="shared" si="2"/>
        <v>2135.54</v>
      </c>
      <c r="G24" s="14">
        <v>381.77</v>
      </c>
      <c r="H24" s="14">
        <v>1140.67</v>
      </c>
      <c r="I24" s="14">
        <v>0</v>
      </c>
      <c r="J24" s="14">
        <v>421.47</v>
      </c>
      <c r="K24" s="14">
        <v>72.81</v>
      </c>
      <c r="L24" s="14">
        <v>118.82</v>
      </c>
      <c r="M24" s="14">
        <v>0</v>
      </c>
      <c r="N24" s="16">
        <f t="shared" si="3"/>
        <v>2135.54</v>
      </c>
      <c r="O24" s="16">
        <f t="shared" si="0"/>
        <v>0</v>
      </c>
      <c r="P24" s="14">
        <v>380</v>
      </c>
      <c r="Q24" s="17">
        <v>45866</v>
      </c>
      <c r="R24" s="18"/>
      <c r="S24" s="19">
        <f t="shared" si="1"/>
        <v>-1.7699999999999818</v>
      </c>
    </row>
    <row r="25" spans="1:19" x14ac:dyDescent="0.25">
      <c r="A25" s="12">
        <f>'[1]Cash Variance'!A24</f>
        <v>45860</v>
      </c>
      <c r="B25" s="13">
        <v>1547.91</v>
      </c>
      <c r="C25" s="13">
        <v>734.67</v>
      </c>
      <c r="D25" s="14">
        <v>124.05</v>
      </c>
      <c r="E25" s="14">
        <v>6.1</v>
      </c>
      <c r="F25" s="15">
        <f t="shared" si="2"/>
        <v>2412.73</v>
      </c>
      <c r="G25" s="14">
        <v>429.47</v>
      </c>
      <c r="H25" s="14">
        <v>1221.71</v>
      </c>
      <c r="I25" s="14">
        <v>31.37</v>
      </c>
      <c r="J25" s="14">
        <v>492.91</v>
      </c>
      <c r="K25" s="14">
        <v>33.78</v>
      </c>
      <c r="L25" s="14">
        <v>203.49</v>
      </c>
      <c r="M25" s="14">
        <v>0</v>
      </c>
      <c r="N25" s="16">
        <f t="shared" si="3"/>
        <v>2412.7300000000005</v>
      </c>
      <c r="O25" s="16">
        <f t="shared" si="0"/>
        <v>0</v>
      </c>
      <c r="P25" s="14">
        <v>425</v>
      </c>
      <c r="Q25" s="17">
        <v>45866</v>
      </c>
      <c r="R25" s="18"/>
      <c r="S25" s="19">
        <f t="shared" si="1"/>
        <v>-4.4700000000000273</v>
      </c>
    </row>
    <row r="26" spans="1:19" x14ac:dyDescent="0.25">
      <c r="A26" s="12">
        <f>'[1]Cash Variance'!A25</f>
        <v>45861</v>
      </c>
      <c r="B26" s="13">
        <v>1177.68</v>
      </c>
      <c r="C26" s="13">
        <v>950.12</v>
      </c>
      <c r="D26" s="14">
        <v>94.35</v>
      </c>
      <c r="E26" s="14">
        <v>5.5</v>
      </c>
      <c r="F26" s="15">
        <f t="shared" si="2"/>
        <v>2227.65</v>
      </c>
      <c r="G26" s="14">
        <v>237.18</v>
      </c>
      <c r="H26" s="14">
        <v>1019.86</v>
      </c>
      <c r="I26" s="14">
        <v>20.49</v>
      </c>
      <c r="J26" s="14">
        <v>814.86</v>
      </c>
      <c r="K26" s="14">
        <v>59.09</v>
      </c>
      <c r="L26" s="14">
        <v>76.17</v>
      </c>
      <c r="M26" s="14">
        <v>0</v>
      </c>
      <c r="N26" s="16">
        <f t="shared" si="3"/>
        <v>2227.65</v>
      </c>
      <c r="O26" s="16">
        <f t="shared" si="0"/>
        <v>0</v>
      </c>
      <c r="P26" s="14">
        <v>235</v>
      </c>
      <c r="Q26" s="17">
        <v>45866</v>
      </c>
      <c r="R26" s="18"/>
      <c r="S26" s="19">
        <f t="shared" si="1"/>
        <v>-2.1800000000000068</v>
      </c>
    </row>
    <row r="27" spans="1:19" x14ac:dyDescent="0.25">
      <c r="A27" s="12">
        <f>'[1]Cash Variance'!A26</f>
        <v>45862</v>
      </c>
      <c r="B27" s="13">
        <v>1435.3</v>
      </c>
      <c r="C27" s="13">
        <v>708.46</v>
      </c>
      <c r="D27" s="14">
        <v>115.01</v>
      </c>
      <c r="E27" s="14">
        <v>4</v>
      </c>
      <c r="F27" s="15">
        <f t="shared" si="2"/>
        <v>2262.7700000000004</v>
      </c>
      <c r="G27" s="14">
        <v>443.06</v>
      </c>
      <c r="H27" s="14">
        <v>1103.1600000000001</v>
      </c>
      <c r="I27" s="14">
        <v>8.09</v>
      </c>
      <c r="J27" s="14">
        <v>615.03</v>
      </c>
      <c r="K27" s="14">
        <v>36.76</v>
      </c>
      <c r="L27" s="14">
        <v>56.67</v>
      </c>
      <c r="M27" s="14">
        <v>0</v>
      </c>
      <c r="N27" s="16">
        <f t="shared" si="3"/>
        <v>2262.7700000000004</v>
      </c>
      <c r="O27" s="16">
        <f t="shared" si="0"/>
        <v>0</v>
      </c>
      <c r="P27" s="14"/>
      <c r="Q27" s="17"/>
      <c r="R27" s="18"/>
      <c r="S27" s="19">
        <f t="shared" si="1"/>
        <v>-443.06</v>
      </c>
    </row>
    <row r="28" spans="1:19" x14ac:dyDescent="0.25">
      <c r="A28" s="12">
        <f>'[1]Cash Variance'!A27</f>
        <v>45863</v>
      </c>
      <c r="B28" s="14">
        <v>2376.42</v>
      </c>
      <c r="C28" s="14">
        <v>1408.53</v>
      </c>
      <c r="D28" s="14">
        <v>190.42</v>
      </c>
      <c r="E28" s="14">
        <v>15</v>
      </c>
      <c r="F28" s="15">
        <f>SUM(B28:E28)</f>
        <v>3990.37</v>
      </c>
      <c r="G28" s="14">
        <v>383.2</v>
      </c>
      <c r="H28" s="14">
        <v>2226.02</v>
      </c>
      <c r="I28" s="14">
        <v>0</v>
      </c>
      <c r="J28" s="14">
        <v>1116.25</v>
      </c>
      <c r="K28" s="14">
        <v>85.76</v>
      </c>
      <c r="L28" s="14">
        <v>179.11</v>
      </c>
      <c r="M28" s="14">
        <v>0</v>
      </c>
      <c r="N28" s="16">
        <f t="shared" si="3"/>
        <v>3990.34</v>
      </c>
      <c r="O28" s="16">
        <f t="shared" si="0"/>
        <v>2.9999999999745341E-2</v>
      </c>
      <c r="P28" s="14">
        <v>20</v>
      </c>
      <c r="Q28" s="17">
        <v>45866</v>
      </c>
      <c r="R28" s="18"/>
      <c r="S28" s="19">
        <f t="shared" si="1"/>
        <v>-363.2</v>
      </c>
    </row>
    <row r="29" spans="1:19" x14ac:dyDescent="0.25">
      <c r="A29" s="12">
        <f>'[1]Cash Variance'!A28</f>
        <v>45864</v>
      </c>
      <c r="B29" s="13">
        <v>1745.78</v>
      </c>
      <c r="C29" s="13">
        <v>1398.95</v>
      </c>
      <c r="D29" s="14">
        <v>139.9</v>
      </c>
      <c r="E29" s="14">
        <v>6</v>
      </c>
      <c r="F29" s="15">
        <f t="shared" si="2"/>
        <v>3290.63</v>
      </c>
      <c r="G29" s="14">
        <v>437.85</v>
      </c>
      <c r="H29" s="14">
        <v>1453.82</v>
      </c>
      <c r="I29" s="14">
        <v>0</v>
      </c>
      <c r="J29" s="14">
        <v>1080.8499999999999</v>
      </c>
      <c r="K29" s="14">
        <v>42.21</v>
      </c>
      <c r="L29" s="14">
        <v>275.89</v>
      </c>
      <c r="M29" s="14">
        <v>0</v>
      </c>
      <c r="N29" s="16">
        <f t="shared" si="3"/>
        <v>3290.62</v>
      </c>
      <c r="O29" s="16">
        <f t="shared" si="0"/>
        <v>1.0000000000218279E-2</v>
      </c>
      <c r="P29" s="14"/>
      <c r="Q29" s="17"/>
      <c r="R29" s="18"/>
      <c r="S29" s="19">
        <f t="shared" si="1"/>
        <v>-437.85</v>
      </c>
    </row>
    <row r="30" spans="1:19" x14ac:dyDescent="0.25">
      <c r="A30" s="12">
        <f>'[1]Cash Variance'!A29</f>
        <v>45865</v>
      </c>
      <c r="B30" s="13">
        <v>1160.6099999999999</v>
      </c>
      <c r="C30" s="13">
        <v>756.32</v>
      </c>
      <c r="D30" s="14">
        <v>93</v>
      </c>
      <c r="E30" s="14">
        <v>2.65</v>
      </c>
      <c r="F30" s="15">
        <f t="shared" si="2"/>
        <v>2012.58</v>
      </c>
      <c r="G30" s="14">
        <v>225.17</v>
      </c>
      <c r="H30" s="14">
        <v>1036.0899999999999</v>
      </c>
      <c r="I30" s="14">
        <v>0</v>
      </c>
      <c r="J30" s="14">
        <v>568.48</v>
      </c>
      <c r="K30" s="14">
        <v>10.73</v>
      </c>
      <c r="L30" s="14">
        <v>172.11</v>
      </c>
      <c r="M30" s="14">
        <v>0</v>
      </c>
      <c r="N30" s="16">
        <f t="shared" si="3"/>
        <v>2012.58</v>
      </c>
      <c r="O30" s="16">
        <f t="shared" si="0"/>
        <v>0</v>
      </c>
      <c r="P30" s="14"/>
      <c r="Q30" s="17"/>
      <c r="R30" s="18"/>
      <c r="S30" s="19">
        <f t="shared" si="1"/>
        <v>-225.17</v>
      </c>
    </row>
    <row r="31" spans="1:19" x14ac:dyDescent="0.25">
      <c r="A31" s="12">
        <f>'[1]Cash Variance'!A30</f>
        <v>45866</v>
      </c>
      <c r="B31" s="13">
        <v>1653.84</v>
      </c>
      <c r="C31" s="13">
        <v>456.43</v>
      </c>
      <c r="D31" s="14">
        <v>132.53</v>
      </c>
      <c r="E31" s="14">
        <v>6.55</v>
      </c>
      <c r="F31" s="15">
        <f t="shared" si="2"/>
        <v>2249.3500000000004</v>
      </c>
      <c r="G31" s="14">
        <v>678.57</v>
      </c>
      <c r="H31" s="14">
        <v>1122.07</v>
      </c>
      <c r="I31" s="14">
        <v>0</v>
      </c>
      <c r="J31" s="14">
        <v>272.23</v>
      </c>
      <c r="K31" s="14">
        <v>60.9</v>
      </c>
      <c r="L31" s="14">
        <v>115.58</v>
      </c>
      <c r="M31" s="14">
        <v>0</v>
      </c>
      <c r="N31" s="16">
        <f t="shared" si="3"/>
        <v>2249.35</v>
      </c>
      <c r="O31" s="16">
        <f t="shared" si="0"/>
        <v>0</v>
      </c>
      <c r="P31" s="14"/>
      <c r="Q31" s="17"/>
      <c r="R31" s="18"/>
      <c r="S31" s="19">
        <f t="shared" si="1"/>
        <v>-678.57</v>
      </c>
    </row>
    <row r="32" spans="1:19" x14ac:dyDescent="0.25">
      <c r="A32" s="12">
        <f>'[1]Cash Variance'!A31</f>
        <v>45867</v>
      </c>
      <c r="B32" s="13">
        <v>1410.09</v>
      </c>
      <c r="C32" s="13">
        <v>747.25</v>
      </c>
      <c r="D32" s="14">
        <v>113.01</v>
      </c>
      <c r="E32" s="14">
        <v>14.34</v>
      </c>
      <c r="F32" s="15">
        <f t="shared" si="2"/>
        <v>2284.6900000000005</v>
      </c>
      <c r="G32" s="14">
        <v>441.35</v>
      </c>
      <c r="H32" s="14">
        <v>1098.58</v>
      </c>
      <c r="I32" s="14">
        <v>0</v>
      </c>
      <c r="J32" s="14">
        <v>620.19000000000005</v>
      </c>
      <c r="K32" s="14">
        <v>36.159999999999997</v>
      </c>
      <c r="L32" s="14">
        <v>88.4</v>
      </c>
      <c r="M32" s="14">
        <v>0</v>
      </c>
      <c r="N32" s="22">
        <f t="shared" si="3"/>
        <v>2284.6799999999998</v>
      </c>
      <c r="O32" s="22">
        <f t="shared" si="0"/>
        <v>1.0000000000673026E-2</v>
      </c>
      <c r="P32" s="23"/>
      <c r="Q32" s="17"/>
      <c r="R32" s="18"/>
      <c r="S32" s="19">
        <f t="shared" si="1"/>
        <v>-441.35</v>
      </c>
    </row>
    <row r="33" spans="1:19" x14ac:dyDescent="0.25">
      <c r="A33" s="12">
        <f>'[1]Cash Variance'!A32</f>
        <v>45868</v>
      </c>
      <c r="B33" s="13">
        <v>1184.4100000000001</v>
      </c>
      <c r="C33" s="13">
        <v>615.17999999999995</v>
      </c>
      <c r="D33" s="14">
        <v>94.96</v>
      </c>
      <c r="E33" s="14">
        <v>4.5</v>
      </c>
      <c r="F33" s="15">
        <f t="shared" si="2"/>
        <v>1899.0500000000002</v>
      </c>
      <c r="G33" s="14">
        <v>312.69</v>
      </c>
      <c r="H33" s="14">
        <v>989.95</v>
      </c>
      <c r="I33" s="14">
        <v>0</v>
      </c>
      <c r="J33" s="14">
        <v>428.44</v>
      </c>
      <c r="K33" s="14">
        <v>71.61</v>
      </c>
      <c r="L33" s="14">
        <v>96.34</v>
      </c>
      <c r="M33" s="24">
        <v>0</v>
      </c>
      <c r="N33" s="25">
        <f t="shared" si="3"/>
        <v>1899.03</v>
      </c>
      <c r="O33" s="25">
        <f t="shared" si="0"/>
        <v>2.0000000000209184E-2</v>
      </c>
      <c r="P33" s="21"/>
      <c r="Q33" s="17"/>
      <c r="R33" s="18"/>
      <c r="S33" s="19">
        <f t="shared" si="1"/>
        <v>-312.69</v>
      </c>
    </row>
    <row r="34" spans="1:19" ht="15.75" thickBot="1" x14ac:dyDescent="0.3">
      <c r="A34" s="12">
        <f>'[1]Cash Variance'!A33</f>
        <v>45869</v>
      </c>
      <c r="B34" s="13">
        <v>1936.97</v>
      </c>
      <c r="C34" s="13">
        <v>964.6</v>
      </c>
      <c r="D34" s="26">
        <v>155.25</v>
      </c>
      <c r="E34" s="26">
        <v>15.79</v>
      </c>
      <c r="F34" s="15">
        <f>SUM(B34:E34)</f>
        <v>3072.61</v>
      </c>
      <c r="G34" s="26">
        <v>514.96</v>
      </c>
      <c r="H34" s="26">
        <f>1570.36-11.3</f>
        <v>1559.06</v>
      </c>
      <c r="I34" s="26">
        <v>22.66</v>
      </c>
      <c r="J34" s="26">
        <v>767.54</v>
      </c>
      <c r="K34" s="26">
        <v>39.39</v>
      </c>
      <c r="L34" s="26">
        <v>169</v>
      </c>
      <c r="M34" s="27">
        <v>0</v>
      </c>
      <c r="N34" s="25">
        <f t="shared" si="3"/>
        <v>3072.6099999999997</v>
      </c>
      <c r="O34" s="25">
        <f t="shared" si="0"/>
        <v>0</v>
      </c>
      <c r="P34" s="28"/>
      <c r="Q34" s="17"/>
      <c r="R34" s="18">
        <v>-83.24</v>
      </c>
      <c r="S34" s="19">
        <f t="shared" si="1"/>
        <v>-431.72</v>
      </c>
    </row>
    <row r="35" spans="1:19" ht="15.75" thickBot="1" x14ac:dyDescent="0.3">
      <c r="A35" s="29" t="s">
        <v>21</v>
      </c>
      <c r="B35" s="30">
        <f t="shared" ref="B35:M35" si="4">SUM(B4:B34)</f>
        <v>44004.24</v>
      </c>
      <c r="C35" s="30">
        <f t="shared" si="4"/>
        <v>24128.690000000002</v>
      </c>
      <c r="D35" s="30">
        <f>SUM(D4:D34)</f>
        <v>3526.4900000000007</v>
      </c>
      <c r="E35" s="30">
        <f>SUM(E4:E34)</f>
        <v>248.26000000000002</v>
      </c>
      <c r="F35" s="31">
        <f>SUM(F4:F34)</f>
        <v>71907.679999999993</v>
      </c>
      <c r="G35" s="30">
        <f>SUM(G4:G34)</f>
        <v>12134.8</v>
      </c>
      <c r="H35" s="30">
        <f>SUM(H4:H34)</f>
        <v>35474.819999999992</v>
      </c>
      <c r="I35" s="30">
        <f t="shared" si="4"/>
        <v>223.06</v>
      </c>
      <c r="J35" s="30">
        <f>SUM(J4:J34)</f>
        <v>17096.43</v>
      </c>
      <c r="K35" s="30">
        <f>SUM(K4:K34)</f>
        <v>1620.83</v>
      </c>
      <c r="L35" s="30">
        <f>SUM(L4:L34)</f>
        <v>5357.619999999999</v>
      </c>
      <c r="M35" s="30">
        <f t="shared" si="4"/>
        <v>0</v>
      </c>
      <c r="N35" s="31">
        <f>SUM(N4:N34)</f>
        <v>71907.559999999983</v>
      </c>
      <c r="O35" s="31">
        <f t="shared" ref="O35:R35" si="5">SUM(O4:O34)</f>
        <v>0.12000000000057298</v>
      </c>
      <c r="P35" s="30">
        <f>SUM(P4:P34)</f>
        <v>7363</v>
      </c>
      <c r="Q35" s="30"/>
      <c r="R35" s="30">
        <f t="shared" si="5"/>
        <v>-83.24</v>
      </c>
      <c r="S35" s="19">
        <f t="shared" si="1"/>
        <v>-4688.5599999999995</v>
      </c>
    </row>
    <row r="36" spans="1:19" x14ac:dyDescent="0.25">
      <c r="A36" s="32" t="s">
        <v>1</v>
      </c>
      <c r="B36" s="33">
        <f>+B35</f>
        <v>44004.24</v>
      </c>
      <c r="C36" s="33">
        <f>+C35</f>
        <v>24128.690000000002</v>
      </c>
      <c r="D36" s="33">
        <f>+D35</f>
        <v>3526.4900000000007</v>
      </c>
      <c r="E36" s="33">
        <f>+E35</f>
        <v>248.26000000000002</v>
      </c>
      <c r="F36" s="32"/>
      <c r="G36" s="33">
        <f>+G35</f>
        <v>12134.8</v>
      </c>
      <c r="H36" s="32"/>
      <c r="I36" s="32"/>
      <c r="J36" s="33">
        <f>+J35</f>
        <v>17096.43</v>
      </c>
      <c r="K36" s="33">
        <f>+K35</f>
        <v>1620.83</v>
      </c>
      <c r="L36" s="33">
        <f>+L35</f>
        <v>5357.619999999999</v>
      </c>
      <c r="M36" s="33">
        <f>+M35</f>
        <v>0</v>
      </c>
      <c r="N36" s="32"/>
      <c r="O36" s="32"/>
      <c r="P36" s="34"/>
      <c r="Q36" s="35"/>
      <c r="R36" s="32"/>
    </row>
    <row r="37" spans="1:19" x14ac:dyDescent="0.25">
      <c r="A37" s="34" t="s">
        <v>22</v>
      </c>
      <c r="B37" s="36">
        <f>+B35</f>
        <v>44004.24</v>
      </c>
      <c r="C37" s="36">
        <f>+C35</f>
        <v>24128.690000000002</v>
      </c>
      <c r="D37" s="36">
        <f>+D35</f>
        <v>3526.4900000000007</v>
      </c>
      <c r="E37" s="36">
        <f>+E35</f>
        <v>248.26000000000002</v>
      </c>
      <c r="F37" s="34"/>
      <c r="G37" s="36">
        <f>+G35</f>
        <v>12134.8</v>
      </c>
      <c r="H37" s="34"/>
      <c r="I37" s="34"/>
      <c r="J37" s="36">
        <f>+J35</f>
        <v>17096.43</v>
      </c>
      <c r="K37" s="36">
        <f>+K35</f>
        <v>1620.83</v>
      </c>
      <c r="L37" s="36">
        <f>+L35</f>
        <v>5357.619999999999</v>
      </c>
      <c r="M37" s="36">
        <f>+M35</f>
        <v>0</v>
      </c>
      <c r="N37" s="34"/>
      <c r="O37" s="34"/>
      <c r="P37" s="34"/>
      <c r="Q37" s="37"/>
      <c r="R37" s="38"/>
    </row>
    <row r="38" spans="1:19" x14ac:dyDescent="0.25">
      <c r="A38" s="34"/>
      <c r="B38" s="34"/>
      <c r="C38" s="34"/>
      <c r="D38" s="34"/>
      <c r="E38" s="34"/>
      <c r="F38" s="34"/>
      <c r="G38" s="34"/>
      <c r="H38" s="39" t="s">
        <v>23</v>
      </c>
      <c r="I38" s="39"/>
      <c r="J38" s="40">
        <v>20476.97</v>
      </c>
      <c r="K38" s="41">
        <f>1825.6-105.29-108.33</f>
        <v>1611.98</v>
      </c>
      <c r="L38" s="41">
        <f>7203.84</f>
        <v>7203.84</v>
      </c>
      <c r="M38" s="34"/>
      <c r="N38" s="34"/>
      <c r="O38" s="34"/>
      <c r="P38" s="34"/>
      <c r="Q38" s="34"/>
      <c r="R38" s="34"/>
    </row>
    <row r="39" spans="1:19" x14ac:dyDescent="0.25">
      <c r="A39" s="34"/>
      <c r="B39" s="34"/>
      <c r="C39" s="34"/>
      <c r="D39" s="34"/>
      <c r="E39" s="34"/>
      <c r="F39" s="34"/>
      <c r="G39" s="34"/>
      <c r="H39" s="39" t="s">
        <v>24</v>
      </c>
      <c r="I39" s="39"/>
      <c r="J39" s="42">
        <f>+J38-J35</f>
        <v>3380.5400000000009</v>
      </c>
      <c r="K39" s="43">
        <f>+K38-K35</f>
        <v>-8.8499999999999091</v>
      </c>
      <c r="L39" s="43">
        <f>+L38-L35</f>
        <v>1846.2200000000012</v>
      </c>
      <c r="M39" s="34"/>
      <c r="N39" s="34"/>
      <c r="O39" s="34"/>
      <c r="P39" s="34"/>
      <c r="Q39" s="34"/>
      <c r="R39" s="34"/>
    </row>
    <row r="40" spans="1:19" x14ac:dyDescent="0.25">
      <c r="A40" s="34"/>
      <c r="B40" s="34"/>
      <c r="C40" s="34"/>
      <c r="D40" s="34"/>
      <c r="E40" s="34"/>
      <c r="F40" s="34"/>
      <c r="G40" s="34"/>
      <c r="H40" s="39" t="s">
        <v>25</v>
      </c>
      <c r="I40" s="39"/>
      <c r="J40" s="40">
        <v>-3528.62</v>
      </c>
      <c r="K40" s="41">
        <v>-165.39</v>
      </c>
      <c r="L40" s="41">
        <f>-1157.01+450.9</f>
        <v>-706.11</v>
      </c>
      <c r="M40" s="34"/>
      <c r="N40" s="34"/>
      <c r="O40" s="34"/>
      <c r="P40" s="34"/>
      <c r="Q40" s="34"/>
      <c r="R40" s="34"/>
    </row>
    <row r="41" spans="1:19" x14ac:dyDescent="0.25">
      <c r="A41" s="34"/>
      <c r="B41" s="44"/>
      <c r="C41" s="44"/>
      <c r="D41" s="44"/>
      <c r="E41" s="44"/>
      <c r="F41" s="44"/>
      <c r="G41" s="44"/>
      <c r="H41" s="39" t="s">
        <v>26</v>
      </c>
      <c r="I41" s="39"/>
      <c r="J41" s="40">
        <v>-3859.15</v>
      </c>
      <c r="K41" s="41">
        <f>-149.86-64.24</f>
        <v>-214.10000000000002</v>
      </c>
      <c r="L41" s="41">
        <v>-1575.61</v>
      </c>
      <c r="M41" s="44"/>
      <c r="N41" s="44"/>
      <c r="O41" s="44"/>
      <c r="P41" s="44"/>
      <c r="Q41" s="44"/>
      <c r="R41" s="34"/>
    </row>
    <row r="42" spans="1:19" x14ac:dyDescent="0.25">
      <c r="A42" s="34"/>
      <c r="B42" s="34"/>
      <c r="C42" s="34"/>
      <c r="D42" s="34"/>
      <c r="E42" s="34"/>
      <c r="F42" s="34"/>
      <c r="G42" s="34"/>
      <c r="H42" s="39" t="s">
        <v>27</v>
      </c>
      <c r="I42" s="39"/>
      <c r="J42" s="40">
        <v>-450.9</v>
      </c>
      <c r="K42" s="41">
        <v>-187.45</v>
      </c>
      <c r="L42" s="41">
        <v>-54.87</v>
      </c>
      <c r="M42" s="34"/>
      <c r="N42" s="34"/>
      <c r="O42" s="34"/>
      <c r="P42" s="34"/>
      <c r="Q42" s="34"/>
      <c r="R42" s="34"/>
    </row>
    <row r="43" spans="1:19" ht="15.75" thickBot="1" x14ac:dyDescent="0.3">
      <c r="A43" s="34"/>
      <c r="B43" s="34"/>
      <c r="C43" s="34"/>
      <c r="D43" s="34"/>
      <c r="E43" s="34"/>
      <c r="F43" s="34"/>
      <c r="G43" s="34"/>
      <c r="H43" s="45" t="s">
        <v>28</v>
      </c>
      <c r="I43" s="45"/>
      <c r="J43" s="46">
        <f>+J38+J40+J41+J42</f>
        <v>12638.300000000003</v>
      </c>
      <c r="K43" s="47">
        <f>+K38+K40+K41+K42</f>
        <v>1045.0400000000002</v>
      </c>
      <c r="L43" s="47">
        <f>+L38+L40+L41+L42</f>
        <v>4867.2500000000009</v>
      </c>
      <c r="M43" s="34"/>
      <c r="N43" s="34"/>
      <c r="O43" s="34"/>
      <c r="P43" s="34"/>
      <c r="Q43" s="34"/>
      <c r="R43" s="34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2025-08-20T12:24:53Z</dcterms:created>
  <dcterms:modified xsi:type="dcterms:W3CDTF">2025-08-20T12:26:31Z</dcterms:modified>
</cp:coreProperties>
</file>