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gma\COGS\Sales\"/>
    </mc:Choice>
  </mc:AlternateContent>
  <xr:revisionPtr revIDLastSave="0" documentId="13_ncr:1_{92DB769E-37CC-44F8-AB7D-6175B6841CC0}" xr6:coauthVersionLast="47" xr6:coauthVersionMax="47" xr10:uidLastSave="{00000000-0000-0000-0000-000000000000}"/>
  <bookViews>
    <workbookView xWindow="-120" yWindow="-120" windowWidth="20730" windowHeight="11040" xr2:uid="{45436EBF-CE82-4182-AC16-41A22771474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5" i="1" l="1"/>
  <c r="N35" i="1"/>
  <c r="L35" i="1"/>
  <c r="J35" i="1"/>
  <c r="J36" i="1" s="1"/>
  <c r="H35" i="1"/>
  <c r="G35" i="1"/>
  <c r="G36" i="1" s="1"/>
  <c r="D35" i="1"/>
  <c r="C35" i="1"/>
  <c r="H4" i="1"/>
  <c r="F4" i="1"/>
  <c r="O4" i="1" s="1"/>
  <c r="A4" i="1"/>
  <c r="L43" i="1"/>
  <c r="J43" i="1"/>
  <c r="K41" i="1"/>
  <c r="L40" i="1"/>
  <c r="L39" i="1"/>
  <c r="J39" i="1"/>
  <c r="K38" i="1"/>
  <c r="K43" i="1" s="1"/>
  <c r="L37" i="1"/>
  <c r="D37" i="1"/>
  <c r="C37" i="1"/>
  <c r="D36" i="1"/>
  <c r="B36" i="1"/>
  <c r="R35" i="1"/>
  <c r="M35" i="1"/>
  <c r="M37" i="1" s="1"/>
  <c r="L36" i="1"/>
  <c r="K35" i="1"/>
  <c r="K37" i="1" s="1"/>
  <c r="I35" i="1"/>
  <c r="E35" i="1"/>
  <c r="E36" i="1" s="1"/>
  <c r="C36" i="1"/>
  <c r="B35" i="1"/>
  <c r="B37" i="1" s="1"/>
  <c r="S34" i="1"/>
  <c r="H34" i="1"/>
  <c r="N34" i="1" s="1"/>
  <c r="F34" i="1"/>
  <c r="O34" i="1" s="1"/>
  <c r="A34" i="1"/>
  <c r="S33" i="1"/>
  <c r="H33" i="1"/>
  <c r="N33" i="1" s="1"/>
  <c r="F33" i="1"/>
  <c r="O33" i="1" s="1"/>
  <c r="A33" i="1"/>
  <c r="S32" i="1"/>
  <c r="N32" i="1"/>
  <c r="O32" i="1" s="1"/>
  <c r="F32" i="1"/>
  <c r="A32" i="1"/>
  <c r="S31" i="1"/>
  <c r="N31" i="1"/>
  <c r="F31" i="1"/>
  <c r="O31" i="1" s="1"/>
  <c r="A31" i="1"/>
  <c r="S30" i="1"/>
  <c r="N30" i="1"/>
  <c r="F30" i="1"/>
  <c r="O30" i="1" s="1"/>
  <c r="A30" i="1"/>
  <c r="S29" i="1"/>
  <c r="O29" i="1"/>
  <c r="N29" i="1"/>
  <c r="F29" i="1"/>
  <c r="A29" i="1"/>
  <c r="S28" i="1"/>
  <c r="N28" i="1"/>
  <c r="F28" i="1"/>
  <c r="O28" i="1" s="1"/>
  <c r="A28" i="1"/>
  <c r="S27" i="1"/>
  <c r="O27" i="1"/>
  <c r="N27" i="1"/>
  <c r="F27" i="1"/>
  <c r="A27" i="1"/>
  <c r="S26" i="1"/>
  <c r="N26" i="1"/>
  <c r="O26" i="1" s="1"/>
  <c r="F26" i="1"/>
  <c r="A26" i="1"/>
  <c r="S25" i="1"/>
  <c r="N25" i="1"/>
  <c r="F25" i="1"/>
  <c r="O25" i="1" s="1"/>
  <c r="A25" i="1"/>
  <c r="S24" i="1"/>
  <c r="N24" i="1"/>
  <c r="O24" i="1" s="1"/>
  <c r="F24" i="1"/>
  <c r="A24" i="1"/>
  <c r="S23" i="1"/>
  <c r="N23" i="1"/>
  <c r="F23" i="1"/>
  <c r="O23" i="1" s="1"/>
  <c r="A23" i="1"/>
  <c r="S22" i="1"/>
  <c r="N22" i="1"/>
  <c r="F22" i="1"/>
  <c r="O22" i="1" s="1"/>
  <c r="A22" i="1"/>
  <c r="S21" i="1"/>
  <c r="O21" i="1"/>
  <c r="N21" i="1"/>
  <c r="F21" i="1"/>
  <c r="A21" i="1"/>
  <c r="S20" i="1"/>
  <c r="H20" i="1"/>
  <c r="N20" i="1" s="1"/>
  <c r="F20" i="1"/>
  <c r="A20" i="1"/>
  <c r="S19" i="1"/>
  <c r="H19" i="1"/>
  <c r="N19" i="1" s="1"/>
  <c r="F19" i="1"/>
  <c r="A19" i="1"/>
  <c r="S18" i="1"/>
  <c r="N18" i="1"/>
  <c r="H18" i="1"/>
  <c r="F18" i="1"/>
  <c r="O18" i="1" s="1"/>
  <c r="A18" i="1"/>
  <c r="S17" i="1"/>
  <c r="N17" i="1"/>
  <c r="O17" i="1" s="1"/>
  <c r="H17" i="1"/>
  <c r="F17" i="1"/>
  <c r="A17" i="1"/>
  <c r="S16" i="1"/>
  <c r="H16" i="1"/>
  <c r="N16" i="1" s="1"/>
  <c r="F16" i="1"/>
  <c r="A16" i="1"/>
  <c r="S15" i="1"/>
  <c r="H15" i="1"/>
  <c r="N15" i="1" s="1"/>
  <c r="F15" i="1"/>
  <c r="O15" i="1" s="1"/>
  <c r="A15" i="1"/>
  <c r="S14" i="1"/>
  <c r="N14" i="1"/>
  <c r="H14" i="1"/>
  <c r="F14" i="1"/>
  <c r="O14" i="1" s="1"/>
  <c r="A14" i="1"/>
  <c r="S13" i="1"/>
  <c r="N13" i="1"/>
  <c r="O13" i="1" s="1"/>
  <c r="H13" i="1"/>
  <c r="F13" i="1"/>
  <c r="A13" i="1"/>
  <c r="S12" i="1"/>
  <c r="H12" i="1"/>
  <c r="N12" i="1" s="1"/>
  <c r="F12" i="1"/>
  <c r="A12" i="1"/>
  <c r="S11" i="1"/>
  <c r="H11" i="1"/>
  <c r="N11" i="1" s="1"/>
  <c r="F11" i="1"/>
  <c r="A11" i="1"/>
  <c r="S10" i="1"/>
  <c r="N10" i="1"/>
  <c r="F10" i="1"/>
  <c r="O10" i="1" s="1"/>
  <c r="A10" i="1"/>
  <c r="S9" i="1"/>
  <c r="N9" i="1"/>
  <c r="F9" i="1"/>
  <c r="O9" i="1" s="1"/>
  <c r="A9" i="1"/>
  <c r="S8" i="1"/>
  <c r="H8" i="1"/>
  <c r="N8" i="1" s="1"/>
  <c r="F8" i="1"/>
  <c r="A8" i="1"/>
  <c r="S7" i="1"/>
  <c r="N7" i="1"/>
  <c r="H7" i="1"/>
  <c r="F7" i="1"/>
  <c r="O7" i="1" s="1"/>
  <c r="A7" i="1"/>
  <c r="S6" i="1"/>
  <c r="N6" i="1"/>
  <c r="O6" i="1" s="1"/>
  <c r="H6" i="1"/>
  <c r="F6" i="1"/>
  <c r="A6" i="1"/>
  <c r="S5" i="1"/>
  <c r="H5" i="1"/>
  <c r="N5" i="1" s="1"/>
  <c r="F5" i="1"/>
  <c r="A5" i="1"/>
  <c r="S4" i="1"/>
  <c r="N4" i="1"/>
  <c r="A3" i="1"/>
  <c r="J37" i="1" l="1"/>
  <c r="S35" i="1"/>
  <c r="F35" i="1"/>
  <c r="O11" i="1"/>
  <c r="O20" i="1"/>
  <c r="O8" i="1"/>
  <c r="O12" i="1"/>
  <c r="O19" i="1"/>
  <c r="O35" i="1"/>
  <c r="O16" i="1"/>
  <c r="K36" i="1"/>
  <c r="E37" i="1"/>
  <c r="O5" i="1"/>
  <c r="G37" i="1"/>
  <c r="M36" i="1"/>
  <c r="K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tc={517F6958-C0A0-4420-8066-FAEEF7CED444}</author>
    <author>tc={2248B17B-5BF5-4354-9523-0E63E55AF0E4}</author>
    <author>tc={5EFE4299-B7A4-4AD7-87F7-1D3345DF8955}</author>
  </authors>
  <commentList>
    <comment ref="R12" authorId="0" shapeId="0" xr:uid="{4E9CCEA1-1FEB-4C3E-AB3C-5A8015991FC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Boxes purchased as per bernard mail</t>
        </r>
      </text>
    </comment>
    <comment ref="R18" authorId="1" shapeId="0" xr:uid="{94F99332-BFB0-4B27-A982-C5543B1F303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Chese</t>
        </r>
      </text>
    </comment>
    <comment ref="R33" authorId="2" shapeId="0" xr:uid="{0E5A6E60-C081-411C-BD11-C9A0178824A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My manager had to go buy a adapter from Amazon for the server and we had to buy a new phone and we pay for the window cleaning guy so I'm depositing 395 for the 30th supposed to be 460</t>
        </r>
      </text>
    </comment>
  </commentList>
</comments>
</file>

<file path=xl/sharedStrings.xml><?xml version="1.0" encoding="utf-8"?>
<sst xmlns="http://schemas.openxmlformats.org/spreadsheetml/2006/main" count="30" uniqueCount="29">
  <si>
    <t>FRANKFORD LC LLC</t>
  </si>
  <si>
    <t>LCE GATEWATE</t>
  </si>
  <si>
    <t>BANK STATEMENT</t>
  </si>
  <si>
    <t>Taxable Sale</t>
  </si>
  <si>
    <t>Exempt Sale</t>
  </si>
  <si>
    <t>Sales Tax</t>
  </si>
  <si>
    <t>Delivery Tip</t>
  </si>
  <si>
    <t>Grand Total</t>
  </si>
  <si>
    <t>Cash Sales</t>
  </si>
  <si>
    <t>Word Pay</t>
  </si>
  <si>
    <t>Amex</t>
  </si>
  <si>
    <t>Doordash</t>
  </si>
  <si>
    <t>Grubhub</t>
  </si>
  <si>
    <t>Uber eats</t>
  </si>
  <si>
    <t>Gift Card</t>
  </si>
  <si>
    <t>Total</t>
  </si>
  <si>
    <t>Difference</t>
  </si>
  <si>
    <t>Deposited Cash
TD Bank</t>
  </si>
  <si>
    <t>Date</t>
  </si>
  <si>
    <t>Expense</t>
  </si>
  <si>
    <t>Actual Cash +/-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</si>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</sst>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.00_);_([$$-409]* \(#,##0.00\);_([$$-409]* &quot;-&quot;??_);_(@_)"/>
    <numFmt numFmtId="165" formatCode="&quot;$&quot;#,##0.00_);[Red]\(&quot;$&quot;#,##0.00\)"/>
    <numFmt numFmtId="166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8"/>
      <color rgb="FF444444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7" fontId="2" fillId="2" borderId="5" xfId="0" applyNumberFormat="1" applyFont="1" applyFill="1" applyBorder="1" applyAlignment="1">
      <alignment horizontal="center" vertical="center" wrapText="1"/>
    </xf>
    <xf numFmtId="17" fontId="3" fillId="2" borderId="6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wrapText="1"/>
    </xf>
    <xf numFmtId="14" fontId="5" fillId="0" borderId="9" xfId="0" applyNumberFormat="1" applyFont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165" fontId="5" fillId="0" borderId="11" xfId="0" applyNumberFormat="1" applyFont="1" applyBorder="1" applyAlignment="1">
      <alignment horizontal="right"/>
    </xf>
    <xf numFmtId="164" fontId="5" fillId="3" borderId="11" xfId="0" applyNumberFormat="1" applyFont="1" applyFill="1" applyBorder="1" applyAlignment="1">
      <alignment horizontal="right"/>
    </xf>
    <xf numFmtId="165" fontId="5" fillId="3" borderId="12" xfId="0" applyNumberFormat="1" applyFont="1" applyFill="1" applyBorder="1" applyAlignment="1">
      <alignment horizontal="right"/>
    </xf>
    <xf numFmtId="165" fontId="5" fillId="5" borderId="11" xfId="0" applyNumberFormat="1" applyFont="1" applyFill="1" applyBorder="1" applyAlignment="1">
      <alignment horizontal="right"/>
    </xf>
    <xf numFmtId="14" fontId="5" fillId="0" borderId="11" xfId="0" applyNumberFormat="1" applyFont="1" applyBorder="1" applyAlignment="1">
      <alignment horizontal="right"/>
    </xf>
    <xf numFmtId="2" fontId="5" fillId="0" borderId="12" xfId="0" applyNumberFormat="1" applyFont="1" applyBorder="1" applyAlignment="1">
      <alignment horizontal="right"/>
    </xf>
    <xf numFmtId="165" fontId="6" fillId="3" borderId="12" xfId="0" applyNumberFormat="1" applyFont="1" applyFill="1" applyBorder="1" applyAlignment="1">
      <alignment horizontal="right"/>
    </xf>
    <xf numFmtId="165" fontId="5" fillId="0" borderId="11" xfId="0" applyNumberFormat="1" applyFont="1" applyBorder="1"/>
    <xf numFmtId="165" fontId="5" fillId="0" borderId="13" xfId="0" applyNumberFormat="1" applyFont="1" applyBorder="1" applyAlignment="1">
      <alignment horizontal="right"/>
    </xf>
    <xf numFmtId="14" fontId="5" fillId="0" borderId="12" xfId="0" applyNumberFormat="1" applyFont="1" applyBorder="1" applyAlignment="1">
      <alignment horizontal="right"/>
    </xf>
    <xf numFmtId="165" fontId="5" fillId="0" borderId="14" xfId="0" applyNumberFormat="1" applyFont="1" applyBorder="1" applyAlignment="1">
      <alignment horizontal="right"/>
    </xf>
    <xf numFmtId="14" fontId="5" fillId="0" borderId="13" xfId="0" applyNumberFormat="1" applyFont="1" applyBorder="1" applyAlignment="1">
      <alignment horizontal="right"/>
    </xf>
    <xf numFmtId="165" fontId="5" fillId="3" borderId="0" xfId="0" applyNumberFormat="1" applyFont="1" applyFill="1" applyAlignment="1">
      <alignment horizontal="right"/>
    </xf>
    <xf numFmtId="165" fontId="5" fillId="0" borderId="15" xfId="0" applyNumberFormat="1" applyFont="1" applyBorder="1" applyAlignment="1">
      <alignment horizontal="right"/>
    </xf>
    <xf numFmtId="165" fontId="5" fillId="3" borderId="10" xfId="0" applyNumberFormat="1" applyFont="1" applyFill="1" applyBorder="1" applyAlignment="1">
      <alignment horizontal="right"/>
    </xf>
    <xf numFmtId="165" fontId="5" fillId="3" borderId="16" xfId="0" applyNumberFormat="1" applyFont="1" applyFill="1" applyBorder="1" applyAlignment="1">
      <alignment horizontal="right"/>
    </xf>
    <xf numFmtId="166" fontId="5" fillId="0" borderId="10" xfId="0" applyNumberFormat="1" applyFont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right"/>
    </xf>
    <xf numFmtId="165" fontId="6" fillId="3" borderId="18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" fontId="0" fillId="0" borderId="0" xfId="0" applyNumberFormat="1"/>
    <xf numFmtId="0" fontId="0" fillId="0" borderId="1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6" borderId="10" xfId="0" applyFill="1" applyBorder="1" applyAlignment="1">
      <alignment horizontal="center"/>
    </xf>
    <xf numFmtId="165" fontId="0" fillId="6" borderId="20" xfId="0" applyNumberFormat="1" applyFill="1" applyBorder="1" applyAlignment="1">
      <alignment horizontal="center"/>
    </xf>
    <xf numFmtId="165" fontId="0" fillId="6" borderId="2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7D02D-7E74-411B-A3A9-53674A902EB1}">
  <dimension ref="A1:S44"/>
  <sheetViews>
    <sheetView tabSelected="1" workbookViewId="0">
      <selection activeCell="R3" sqref="R3"/>
    </sheetView>
  </sheetViews>
  <sheetFormatPr defaultRowHeight="15" x14ac:dyDescent="0.25"/>
  <cols>
    <col min="1" max="1" width="10.42578125" bestFit="1" customWidth="1"/>
    <col min="2" max="2" width="10.5703125" bestFit="1" customWidth="1"/>
    <col min="3" max="3" width="10.85546875" bestFit="1" customWidth="1"/>
    <col min="4" max="4" width="9.85546875" bestFit="1" customWidth="1"/>
    <col min="6" max="6" width="10.5703125" bestFit="1" customWidth="1"/>
    <col min="7" max="8" width="10.85546875" bestFit="1" customWidth="1"/>
    <col min="10" max="10" width="9.85546875" bestFit="1" customWidth="1"/>
    <col min="12" max="12" width="9.85546875" bestFit="1" customWidth="1"/>
    <col min="14" max="14" width="10.85546875" bestFit="1" customWidth="1"/>
    <col min="15" max="15" width="11.5703125" customWidth="1"/>
    <col min="16" max="16" width="10.85546875" bestFit="1" customWidth="1"/>
    <col min="17" max="17" width="10.42578125" bestFit="1" customWidth="1"/>
    <col min="18" max="18" width="12.140625" customWidth="1"/>
  </cols>
  <sheetData>
    <row r="1" spans="1:19" ht="24" thickBot="1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9.5" thickBot="1" x14ac:dyDescent="0.3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5" t="s">
        <v>2</v>
      </c>
      <c r="Q2" s="3"/>
      <c r="R2" s="3"/>
      <c r="S2" s="3"/>
    </row>
    <row r="3" spans="1:19" ht="48" thickBot="1" x14ac:dyDescent="0.3">
      <c r="A3" s="6">
        <f>'[1]Cash Variance'!A2</f>
        <v>45839</v>
      </c>
      <c r="B3" s="7" t="s">
        <v>3</v>
      </c>
      <c r="C3" s="7" t="s">
        <v>4</v>
      </c>
      <c r="D3" s="8" t="s">
        <v>5</v>
      </c>
      <c r="E3" s="8" t="s">
        <v>6</v>
      </c>
      <c r="F3" s="9" t="s">
        <v>7</v>
      </c>
      <c r="G3" s="8" t="s">
        <v>8</v>
      </c>
      <c r="H3" s="8" t="s">
        <v>9</v>
      </c>
      <c r="I3" s="8" t="s">
        <v>10</v>
      </c>
      <c r="J3" s="10" t="s">
        <v>11</v>
      </c>
      <c r="K3" s="10" t="s">
        <v>12</v>
      </c>
      <c r="L3" s="10" t="s">
        <v>13</v>
      </c>
      <c r="M3" s="8" t="s">
        <v>14</v>
      </c>
      <c r="N3" s="11" t="s">
        <v>15</v>
      </c>
      <c r="O3" s="11" t="s">
        <v>16</v>
      </c>
      <c r="P3" s="8" t="s">
        <v>17</v>
      </c>
      <c r="Q3" s="8" t="s">
        <v>18</v>
      </c>
      <c r="R3" s="8" t="s">
        <v>19</v>
      </c>
      <c r="S3" s="11" t="s">
        <v>20</v>
      </c>
    </row>
    <row r="4" spans="1:19" x14ac:dyDescent="0.25">
      <c r="A4" s="12">
        <f>'[1]Cash Variance'!A3</f>
        <v>45839</v>
      </c>
      <c r="B4" s="13">
        <v>1289.03</v>
      </c>
      <c r="C4" s="13">
        <v>634.14</v>
      </c>
      <c r="D4" s="14">
        <v>103.27</v>
      </c>
      <c r="E4" s="14">
        <v>18.62</v>
      </c>
      <c r="F4" s="15">
        <f>SUM(B4:E4)</f>
        <v>2045.06</v>
      </c>
      <c r="G4" s="14">
        <v>394.38</v>
      </c>
      <c r="H4" s="14">
        <f>1019.04-13.87</f>
        <v>1005.17</v>
      </c>
      <c r="I4" s="14">
        <v>0</v>
      </c>
      <c r="J4" s="14">
        <v>498.6</v>
      </c>
      <c r="K4" s="14">
        <v>0</v>
      </c>
      <c r="L4" s="14">
        <v>146.91</v>
      </c>
      <c r="M4" s="14">
        <v>0</v>
      </c>
      <c r="N4" s="16">
        <f t="shared" ref="N4:N34" si="0">SUM(G4:M4)</f>
        <v>2045.0600000000002</v>
      </c>
      <c r="O4" s="16">
        <f t="shared" ref="O4:O34" si="1">+F4-N4</f>
        <v>0</v>
      </c>
      <c r="P4" s="17">
        <v>385</v>
      </c>
      <c r="Q4" s="18">
        <v>45841</v>
      </c>
      <c r="R4" s="19"/>
      <c r="S4" s="20">
        <f t="shared" ref="S4:S35" si="2">P4-G4-R4</f>
        <v>-9.3799999999999955</v>
      </c>
    </row>
    <row r="5" spans="1:19" x14ac:dyDescent="0.25">
      <c r="A5" s="12">
        <f>'[1]Cash Variance'!A4</f>
        <v>45840</v>
      </c>
      <c r="B5" s="13">
        <v>1793.37</v>
      </c>
      <c r="C5" s="13">
        <v>394.62</v>
      </c>
      <c r="D5" s="14">
        <v>143.69999999999999</v>
      </c>
      <c r="E5" s="14">
        <v>13.65</v>
      </c>
      <c r="F5" s="15">
        <f t="shared" ref="F5:F33" si="3">SUM(B5:E5)</f>
        <v>2345.3399999999997</v>
      </c>
      <c r="G5" s="14">
        <v>483.84</v>
      </c>
      <c r="H5" s="14">
        <f>1447.09-2.49</f>
        <v>1444.6</v>
      </c>
      <c r="I5" s="14">
        <v>32.909999999999997</v>
      </c>
      <c r="J5" s="14">
        <v>326.24</v>
      </c>
      <c r="K5" s="14">
        <v>9.3699999999999992</v>
      </c>
      <c r="L5" s="14">
        <v>48.38</v>
      </c>
      <c r="M5" s="14">
        <v>0</v>
      </c>
      <c r="N5" s="16">
        <f t="shared" si="0"/>
        <v>2345.34</v>
      </c>
      <c r="O5" s="16">
        <f t="shared" si="1"/>
        <v>0</v>
      </c>
      <c r="P5" s="17">
        <v>480</v>
      </c>
      <c r="Q5" s="18">
        <v>45848</v>
      </c>
      <c r="R5" s="19"/>
      <c r="S5" s="20">
        <f t="shared" si="2"/>
        <v>-3.839999999999975</v>
      </c>
    </row>
    <row r="6" spans="1:19" x14ac:dyDescent="0.25">
      <c r="A6" s="12">
        <f>'[1]Cash Variance'!A5</f>
        <v>45841</v>
      </c>
      <c r="B6" s="13">
        <v>1977.7</v>
      </c>
      <c r="C6" s="13">
        <v>213.87</v>
      </c>
      <c r="D6" s="14">
        <v>158.41</v>
      </c>
      <c r="E6" s="14">
        <v>9.43</v>
      </c>
      <c r="F6" s="15">
        <f t="shared" si="3"/>
        <v>2359.41</v>
      </c>
      <c r="G6" s="14">
        <v>528.82000000000005</v>
      </c>
      <c r="H6" s="14">
        <f>1630.7-2.5</f>
        <v>1628.2</v>
      </c>
      <c r="I6" s="14">
        <v>0</v>
      </c>
      <c r="J6" s="14">
        <v>110.32</v>
      </c>
      <c r="K6" s="14">
        <v>49.96</v>
      </c>
      <c r="L6" s="14">
        <v>42.11</v>
      </c>
      <c r="M6" s="14">
        <v>0</v>
      </c>
      <c r="N6" s="16">
        <f t="shared" si="0"/>
        <v>2359.4100000000003</v>
      </c>
      <c r="O6" s="16">
        <f t="shared" si="1"/>
        <v>0</v>
      </c>
      <c r="P6" s="17">
        <v>525</v>
      </c>
      <c r="Q6" s="18">
        <v>45848</v>
      </c>
      <c r="R6" s="19"/>
      <c r="S6" s="20">
        <f t="shared" si="2"/>
        <v>-3.82000000000005</v>
      </c>
    </row>
    <row r="7" spans="1:19" x14ac:dyDescent="0.25">
      <c r="A7" s="12">
        <f>'[1]Cash Variance'!A6</f>
        <v>45842</v>
      </c>
      <c r="B7" s="13">
        <v>723.56</v>
      </c>
      <c r="C7" s="13">
        <v>214.29</v>
      </c>
      <c r="D7" s="14">
        <v>58</v>
      </c>
      <c r="E7" s="14">
        <v>0</v>
      </c>
      <c r="F7" s="15">
        <f t="shared" si="3"/>
        <v>995.84999999999991</v>
      </c>
      <c r="G7" s="14">
        <v>250.38</v>
      </c>
      <c r="H7" s="14">
        <f>531.18-2</f>
        <v>529.17999999999995</v>
      </c>
      <c r="I7" s="14">
        <v>0</v>
      </c>
      <c r="J7" s="14">
        <v>149.97999999999999</v>
      </c>
      <c r="K7" s="14">
        <v>18.07</v>
      </c>
      <c r="L7" s="14">
        <v>48.24</v>
      </c>
      <c r="M7" s="14">
        <v>0</v>
      </c>
      <c r="N7" s="16">
        <f t="shared" si="0"/>
        <v>995.85</v>
      </c>
      <c r="O7" s="16">
        <f t="shared" si="1"/>
        <v>0</v>
      </c>
      <c r="P7" s="14">
        <v>250</v>
      </c>
      <c r="Q7" s="18">
        <v>45848</v>
      </c>
      <c r="R7" s="19"/>
      <c r="S7" s="20">
        <f t="shared" si="2"/>
        <v>-0.37999999999999545</v>
      </c>
    </row>
    <row r="8" spans="1:19" x14ac:dyDescent="0.25">
      <c r="A8" s="12">
        <f>'[1]Cash Variance'!A7</f>
        <v>45843</v>
      </c>
      <c r="B8" s="13">
        <v>1571.96</v>
      </c>
      <c r="C8" s="13">
        <v>353.88</v>
      </c>
      <c r="D8" s="14">
        <v>125.96</v>
      </c>
      <c r="E8" s="14">
        <v>6.31</v>
      </c>
      <c r="F8" s="15">
        <f t="shared" si="3"/>
        <v>2058.11</v>
      </c>
      <c r="G8" s="14">
        <v>457.02</v>
      </c>
      <c r="H8" s="14">
        <f>1251.7-5.19</f>
        <v>1246.51</v>
      </c>
      <c r="I8" s="14">
        <v>0</v>
      </c>
      <c r="J8" s="14">
        <v>205.3</v>
      </c>
      <c r="K8" s="14">
        <v>42.96</v>
      </c>
      <c r="L8" s="14">
        <v>106.32</v>
      </c>
      <c r="M8" s="14">
        <v>0</v>
      </c>
      <c r="N8" s="16">
        <f t="shared" si="0"/>
        <v>2058.11</v>
      </c>
      <c r="O8" s="16">
        <f t="shared" si="1"/>
        <v>0</v>
      </c>
      <c r="P8" s="14">
        <v>455</v>
      </c>
      <c r="Q8" s="18">
        <v>45848</v>
      </c>
      <c r="R8" s="19"/>
      <c r="S8" s="20">
        <f t="shared" si="2"/>
        <v>-2.0199999999999818</v>
      </c>
    </row>
    <row r="9" spans="1:19" x14ac:dyDescent="0.25">
      <c r="A9" s="12">
        <f>'[1]Cash Variance'!A8</f>
        <v>45844</v>
      </c>
      <c r="B9" s="13">
        <v>831.35</v>
      </c>
      <c r="C9" s="13">
        <v>54.86</v>
      </c>
      <c r="D9" s="14">
        <v>66.62</v>
      </c>
      <c r="E9" s="14">
        <v>0</v>
      </c>
      <c r="F9" s="15">
        <f t="shared" si="3"/>
        <v>952.83</v>
      </c>
      <c r="G9" s="14">
        <v>311.99</v>
      </c>
      <c r="H9" s="14">
        <v>576.62</v>
      </c>
      <c r="I9" s="14">
        <v>11.86</v>
      </c>
      <c r="J9" s="14">
        <v>14.46</v>
      </c>
      <c r="K9" s="14">
        <v>0</v>
      </c>
      <c r="L9" s="14">
        <v>39.090000000000003</v>
      </c>
      <c r="M9" s="14">
        <v>0</v>
      </c>
      <c r="N9" s="16">
        <f t="shared" si="0"/>
        <v>954.0200000000001</v>
      </c>
      <c r="O9" s="16">
        <f t="shared" si="1"/>
        <v>-1.1900000000000546</v>
      </c>
      <c r="P9" s="14">
        <v>310</v>
      </c>
      <c r="Q9" s="18">
        <v>45848</v>
      </c>
      <c r="R9" s="19"/>
      <c r="S9" s="20">
        <f t="shared" si="2"/>
        <v>-1.9900000000000091</v>
      </c>
    </row>
    <row r="10" spans="1:19" x14ac:dyDescent="0.25">
      <c r="A10" s="12">
        <f>'[1]Cash Variance'!A9</f>
        <v>45845</v>
      </c>
      <c r="B10" s="13">
        <v>1163.6199999999999</v>
      </c>
      <c r="C10" s="13">
        <v>175.38</v>
      </c>
      <c r="D10" s="21">
        <v>93.22</v>
      </c>
      <c r="E10" s="14">
        <v>4.2699999999999996</v>
      </c>
      <c r="F10" s="15">
        <f>SUM(B10:E10)</f>
        <v>1436.49</v>
      </c>
      <c r="G10" s="14">
        <v>329.91</v>
      </c>
      <c r="H10" s="14">
        <v>927.75</v>
      </c>
      <c r="I10" s="14">
        <v>8.09</v>
      </c>
      <c r="J10" s="14">
        <v>154.21</v>
      </c>
      <c r="K10" s="14">
        <v>0</v>
      </c>
      <c r="L10" s="14">
        <v>12.19</v>
      </c>
      <c r="M10" s="14">
        <v>4.3099999999999996</v>
      </c>
      <c r="N10" s="16">
        <f t="shared" si="0"/>
        <v>1436.46</v>
      </c>
      <c r="O10" s="16">
        <f t="shared" si="1"/>
        <v>2.9999999999972715E-2</v>
      </c>
      <c r="P10" s="14">
        <v>330</v>
      </c>
      <c r="Q10" s="18">
        <v>45848</v>
      </c>
      <c r="R10" s="19"/>
      <c r="S10" s="20">
        <f t="shared" si="2"/>
        <v>8.9999999999974989E-2</v>
      </c>
    </row>
    <row r="11" spans="1:19" x14ac:dyDescent="0.25">
      <c r="A11" s="12">
        <f>'[1]Cash Variance'!A10</f>
        <v>45846</v>
      </c>
      <c r="B11" s="13">
        <v>1210.92</v>
      </c>
      <c r="C11" s="13">
        <v>306.23</v>
      </c>
      <c r="D11" s="22">
        <v>97.07</v>
      </c>
      <c r="E11" s="14">
        <v>5</v>
      </c>
      <c r="F11" s="15">
        <f t="shared" si="3"/>
        <v>1619.22</v>
      </c>
      <c r="G11" s="14">
        <v>474.7</v>
      </c>
      <c r="H11" s="14">
        <f>821.57-4.99</f>
        <v>816.58</v>
      </c>
      <c r="I11" s="14">
        <v>16.71</v>
      </c>
      <c r="J11" s="14">
        <v>182.17</v>
      </c>
      <c r="K11" s="14">
        <v>10.15</v>
      </c>
      <c r="L11" s="14">
        <v>118.91</v>
      </c>
      <c r="M11" s="14">
        <v>0</v>
      </c>
      <c r="N11" s="16">
        <f t="shared" si="0"/>
        <v>1619.2200000000003</v>
      </c>
      <c r="O11" s="16">
        <f t="shared" si="1"/>
        <v>0</v>
      </c>
      <c r="P11" s="14">
        <v>475</v>
      </c>
      <c r="Q11" s="18">
        <v>45848</v>
      </c>
      <c r="R11" s="19"/>
      <c r="S11" s="20">
        <f t="shared" si="2"/>
        <v>0.30000000000001137</v>
      </c>
    </row>
    <row r="12" spans="1:19" x14ac:dyDescent="0.25">
      <c r="A12" s="12">
        <f>'[1]Cash Variance'!A11</f>
        <v>45847</v>
      </c>
      <c r="B12" s="13">
        <v>1270.69</v>
      </c>
      <c r="C12" s="13">
        <v>386.65</v>
      </c>
      <c r="D12" s="22">
        <v>101.81</v>
      </c>
      <c r="E12" s="14">
        <v>11.32</v>
      </c>
      <c r="F12" s="15">
        <f t="shared" si="3"/>
        <v>1770.47</v>
      </c>
      <c r="G12" s="14">
        <v>329.91</v>
      </c>
      <c r="H12" s="14">
        <f>1058.39-4.99</f>
        <v>1053.4000000000001</v>
      </c>
      <c r="I12" s="14">
        <v>0</v>
      </c>
      <c r="J12" s="14">
        <v>263.02</v>
      </c>
      <c r="K12" s="14">
        <v>0</v>
      </c>
      <c r="L12" s="14">
        <v>124.14</v>
      </c>
      <c r="M12" s="14">
        <v>0</v>
      </c>
      <c r="N12" s="16">
        <f t="shared" si="0"/>
        <v>1770.4700000000003</v>
      </c>
      <c r="O12" s="16">
        <f t="shared" si="1"/>
        <v>0</v>
      </c>
      <c r="P12" s="14">
        <v>325</v>
      </c>
      <c r="Q12" s="18">
        <v>45848</v>
      </c>
      <c r="R12" s="19"/>
      <c r="S12" s="20">
        <f t="shared" si="2"/>
        <v>-4.910000000000025</v>
      </c>
    </row>
    <row r="13" spans="1:19" x14ac:dyDescent="0.25">
      <c r="A13" s="12">
        <f>'[1]Cash Variance'!A12</f>
        <v>45848</v>
      </c>
      <c r="B13" s="13">
        <v>1499.82</v>
      </c>
      <c r="C13" s="13">
        <v>239.12</v>
      </c>
      <c r="D13" s="14">
        <v>120.15</v>
      </c>
      <c r="E13" s="14">
        <v>7</v>
      </c>
      <c r="F13" s="15">
        <f t="shared" si="3"/>
        <v>1866.0900000000001</v>
      </c>
      <c r="G13" s="14">
        <v>396.39</v>
      </c>
      <c r="H13" s="14">
        <f>1235.03-3.29</f>
        <v>1231.74</v>
      </c>
      <c r="I13" s="14">
        <v>0</v>
      </c>
      <c r="J13" s="14">
        <v>125.04</v>
      </c>
      <c r="K13" s="14">
        <v>35.08</v>
      </c>
      <c r="L13" s="14">
        <v>77.84</v>
      </c>
      <c r="M13" s="14">
        <v>0</v>
      </c>
      <c r="N13" s="16">
        <f t="shared" si="0"/>
        <v>1866.09</v>
      </c>
      <c r="O13" s="16">
        <f t="shared" si="1"/>
        <v>0</v>
      </c>
      <c r="P13" s="14">
        <v>355</v>
      </c>
      <c r="Q13" s="18">
        <v>45852</v>
      </c>
      <c r="R13" s="19"/>
      <c r="S13" s="20">
        <f t="shared" si="2"/>
        <v>-41.389999999999986</v>
      </c>
    </row>
    <row r="14" spans="1:19" x14ac:dyDescent="0.25">
      <c r="A14" s="12">
        <f>'[1]Cash Variance'!A13</f>
        <v>45849</v>
      </c>
      <c r="B14" s="13">
        <v>1695.23</v>
      </c>
      <c r="C14" s="13">
        <v>473.26</v>
      </c>
      <c r="D14" s="14">
        <v>135.81</v>
      </c>
      <c r="E14" s="14">
        <v>11.72</v>
      </c>
      <c r="F14" s="15">
        <f t="shared" si="3"/>
        <v>2316.0199999999995</v>
      </c>
      <c r="G14" s="14">
        <v>507.28</v>
      </c>
      <c r="H14" s="14">
        <f>1337.96-16.98</f>
        <v>1320.98</v>
      </c>
      <c r="I14" s="14">
        <v>0</v>
      </c>
      <c r="J14" s="14">
        <v>156.21</v>
      </c>
      <c r="K14" s="14">
        <v>60.86</v>
      </c>
      <c r="L14" s="14">
        <v>270.69</v>
      </c>
      <c r="M14" s="14">
        <v>0</v>
      </c>
      <c r="N14" s="16">
        <f t="shared" si="0"/>
        <v>2316.02</v>
      </c>
      <c r="O14" s="16">
        <f t="shared" si="1"/>
        <v>0</v>
      </c>
      <c r="P14" s="14">
        <v>505</v>
      </c>
      <c r="Q14" s="18">
        <v>45852</v>
      </c>
      <c r="R14" s="19"/>
      <c r="S14" s="20">
        <f t="shared" si="2"/>
        <v>-2.2799999999999727</v>
      </c>
    </row>
    <row r="15" spans="1:19" x14ac:dyDescent="0.25">
      <c r="A15" s="12">
        <f>'[1]Cash Variance'!A14</f>
        <v>45850</v>
      </c>
      <c r="B15" s="13">
        <v>1665.34</v>
      </c>
      <c r="C15" s="13">
        <v>430.12</v>
      </c>
      <c r="D15" s="14">
        <v>133.43</v>
      </c>
      <c r="E15" s="14">
        <v>9</v>
      </c>
      <c r="F15" s="15">
        <f t="shared" si="3"/>
        <v>2237.89</v>
      </c>
      <c r="G15" s="14">
        <v>459.35</v>
      </c>
      <c r="H15" s="14">
        <f>1304.23-7.49</f>
        <v>1296.74</v>
      </c>
      <c r="I15" s="14">
        <v>46.68</v>
      </c>
      <c r="J15" s="14">
        <v>323.67</v>
      </c>
      <c r="K15" s="14">
        <v>0</v>
      </c>
      <c r="L15" s="14">
        <v>111.45</v>
      </c>
      <c r="M15" s="14">
        <v>0</v>
      </c>
      <c r="N15" s="16">
        <f t="shared" si="0"/>
        <v>2237.89</v>
      </c>
      <c r="O15" s="16">
        <f t="shared" si="1"/>
        <v>0</v>
      </c>
      <c r="P15" s="14">
        <v>460</v>
      </c>
      <c r="Q15" s="18">
        <v>45854</v>
      </c>
      <c r="R15" s="19"/>
      <c r="S15" s="20">
        <f t="shared" si="2"/>
        <v>0.64999999999997726</v>
      </c>
    </row>
    <row r="16" spans="1:19" x14ac:dyDescent="0.25">
      <c r="A16" s="12">
        <f>'[1]Cash Variance'!A15</f>
        <v>45851</v>
      </c>
      <c r="B16" s="13">
        <v>1228.58</v>
      </c>
      <c r="C16" s="13">
        <v>407.51</v>
      </c>
      <c r="D16" s="14">
        <v>98.44</v>
      </c>
      <c r="E16" s="14">
        <v>4</v>
      </c>
      <c r="F16" s="15">
        <f t="shared" si="3"/>
        <v>1738.53</v>
      </c>
      <c r="G16" s="14">
        <v>347</v>
      </c>
      <c r="H16" s="14">
        <f>984.02-17</f>
        <v>967.02</v>
      </c>
      <c r="I16" s="14">
        <v>0</v>
      </c>
      <c r="J16" s="14">
        <v>208.62</v>
      </c>
      <c r="K16" s="14">
        <v>18.73</v>
      </c>
      <c r="L16" s="14">
        <v>197.16</v>
      </c>
      <c r="M16" s="14">
        <v>0</v>
      </c>
      <c r="N16" s="16">
        <f t="shared" si="0"/>
        <v>1738.53</v>
      </c>
      <c r="O16" s="16">
        <f t="shared" si="1"/>
        <v>0</v>
      </c>
      <c r="P16" s="14">
        <v>345</v>
      </c>
      <c r="Q16" s="18">
        <v>45854</v>
      </c>
      <c r="R16" s="19"/>
      <c r="S16" s="20">
        <f t="shared" si="2"/>
        <v>-2</v>
      </c>
    </row>
    <row r="17" spans="1:19" x14ac:dyDescent="0.25">
      <c r="A17" s="12">
        <f>'[1]Cash Variance'!A16</f>
        <v>45852</v>
      </c>
      <c r="B17" s="13">
        <v>817.24</v>
      </c>
      <c r="C17" s="13">
        <v>370.74</v>
      </c>
      <c r="D17" s="14">
        <v>65.489999999999995</v>
      </c>
      <c r="E17" s="14">
        <v>0</v>
      </c>
      <c r="F17" s="15">
        <f t="shared" si="3"/>
        <v>1253.47</v>
      </c>
      <c r="G17" s="14">
        <v>212.33</v>
      </c>
      <c r="H17" s="14">
        <f>632.1-2.5</f>
        <v>629.6</v>
      </c>
      <c r="I17" s="14">
        <v>38.299999999999997</v>
      </c>
      <c r="J17" s="14">
        <v>227.17</v>
      </c>
      <c r="K17" s="14">
        <v>0</v>
      </c>
      <c r="L17" s="14">
        <v>146.07</v>
      </c>
      <c r="M17" s="14">
        <v>0</v>
      </c>
      <c r="N17" s="16">
        <f t="shared" si="0"/>
        <v>1253.47</v>
      </c>
      <c r="O17" s="16">
        <f t="shared" si="1"/>
        <v>0</v>
      </c>
      <c r="P17" s="14">
        <v>210</v>
      </c>
      <c r="Q17" s="18">
        <v>45854</v>
      </c>
      <c r="R17" s="19"/>
      <c r="S17" s="20">
        <f t="shared" si="2"/>
        <v>-2.3300000000000125</v>
      </c>
    </row>
    <row r="18" spans="1:19" x14ac:dyDescent="0.25">
      <c r="A18" s="12">
        <f>'[1]Cash Variance'!A17</f>
        <v>45853</v>
      </c>
      <c r="B18" s="13">
        <v>1226.3800000000001</v>
      </c>
      <c r="C18" s="13">
        <v>369.65</v>
      </c>
      <c r="D18" s="14">
        <v>98.31</v>
      </c>
      <c r="E18" s="14">
        <v>4</v>
      </c>
      <c r="F18" s="15">
        <f t="shared" si="3"/>
        <v>1698.3400000000001</v>
      </c>
      <c r="G18" s="14">
        <v>309.08</v>
      </c>
      <c r="H18" s="14">
        <f>1022.11-12.5</f>
        <v>1009.61</v>
      </c>
      <c r="I18" s="14">
        <v>0</v>
      </c>
      <c r="J18" s="14">
        <v>138.69999999999999</v>
      </c>
      <c r="K18" s="14">
        <v>37.479999999999997</v>
      </c>
      <c r="L18" s="14">
        <v>203.47</v>
      </c>
      <c r="M18" s="14">
        <v>0</v>
      </c>
      <c r="N18" s="16">
        <f t="shared" si="0"/>
        <v>1698.3400000000001</v>
      </c>
      <c r="O18" s="16">
        <f t="shared" si="1"/>
        <v>0</v>
      </c>
      <c r="P18" s="14">
        <v>245</v>
      </c>
      <c r="Q18" s="18">
        <v>45854</v>
      </c>
      <c r="R18" s="14">
        <v>-33.979999999999997</v>
      </c>
      <c r="S18" s="20">
        <f t="shared" si="2"/>
        <v>-30.099999999999987</v>
      </c>
    </row>
    <row r="19" spans="1:19" x14ac:dyDescent="0.25">
      <c r="A19" s="12">
        <f>'[1]Cash Variance'!A18</f>
        <v>45854</v>
      </c>
      <c r="B19" s="13">
        <v>757.94</v>
      </c>
      <c r="C19" s="13">
        <v>178.01</v>
      </c>
      <c r="D19" s="14">
        <v>60.72</v>
      </c>
      <c r="E19" s="14">
        <v>4</v>
      </c>
      <c r="F19" s="15">
        <f t="shared" si="3"/>
        <v>1000.6700000000001</v>
      </c>
      <c r="G19" s="14">
        <v>284.95999999999998</v>
      </c>
      <c r="H19" s="14">
        <f>549.68-2.49</f>
        <v>547.18999999999994</v>
      </c>
      <c r="I19" s="14">
        <v>0</v>
      </c>
      <c r="J19" s="14">
        <v>52.51</v>
      </c>
      <c r="K19" s="14">
        <v>32.340000000000003</v>
      </c>
      <c r="L19" s="14">
        <v>83.67</v>
      </c>
      <c r="M19" s="14">
        <v>0</v>
      </c>
      <c r="N19" s="16">
        <f t="shared" si="0"/>
        <v>1000.6699999999998</v>
      </c>
      <c r="O19" s="16">
        <f t="shared" si="1"/>
        <v>0</v>
      </c>
      <c r="P19" s="14">
        <v>285</v>
      </c>
      <c r="Q19" s="18">
        <v>45856</v>
      </c>
      <c r="R19" s="23"/>
      <c r="S19" s="20">
        <f t="shared" si="2"/>
        <v>4.0000000000020464E-2</v>
      </c>
    </row>
    <row r="20" spans="1:19" x14ac:dyDescent="0.25">
      <c r="A20" s="12">
        <f>'[1]Cash Variance'!A19</f>
        <v>45855</v>
      </c>
      <c r="B20" s="13">
        <v>1477.5</v>
      </c>
      <c r="C20" s="13">
        <v>312.39999999999998</v>
      </c>
      <c r="D20" s="14">
        <v>118.39</v>
      </c>
      <c r="E20" s="14">
        <v>9</v>
      </c>
      <c r="F20" s="15">
        <f t="shared" si="3"/>
        <v>1917.2900000000002</v>
      </c>
      <c r="G20" s="14">
        <v>393.42</v>
      </c>
      <c r="H20" s="14">
        <f>1198.54-5</f>
        <v>1193.54</v>
      </c>
      <c r="I20" s="14">
        <v>12.93</v>
      </c>
      <c r="J20" s="14">
        <v>203.19</v>
      </c>
      <c r="K20" s="14">
        <v>0</v>
      </c>
      <c r="L20" s="14">
        <v>114.21</v>
      </c>
      <c r="M20" s="14">
        <v>0</v>
      </c>
      <c r="N20" s="16">
        <f t="shared" si="0"/>
        <v>1917.2900000000002</v>
      </c>
      <c r="O20" s="16">
        <f t="shared" si="1"/>
        <v>0</v>
      </c>
      <c r="P20" s="14">
        <v>395</v>
      </c>
      <c r="Q20" s="18">
        <v>45861</v>
      </c>
      <c r="R20" s="23"/>
      <c r="S20" s="20">
        <f t="shared" si="2"/>
        <v>1.5799999999999841</v>
      </c>
    </row>
    <row r="21" spans="1:19" x14ac:dyDescent="0.25">
      <c r="A21" s="12">
        <f>'[1]Cash Variance'!A20</f>
        <v>45856</v>
      </c>
      <c r="B21" s="13">
        <v>445.14</v>
      </c>
      <c r="C21" s="13">
        <v>56.62</v>
      </c>
      <c r="D21" s="14">
        <v>35.65</v>
      </c>
      <c r="E21" s="14">
        <v>3</v>
      </c>
      <c r="F21" s="15">
        <f t="shared" si="3"/>
        <v>540.41</v>
      </c>
      <c r="G21" s="14">
        <v>211.26</v>
      </c>
      <c r="H21" s="14">
        <v>277.02</v>
      </c>
      <c r="I21" s="14">
        <v>0</v>
      </c>
      <c r="J21" s="14">
        <v>37.5</v>
      </c>
      <c r="K21" s="14">
        <v>0</v>
      </c>
      <c r="L21" s="14">
        <v>14.63</v>
      </c>
      <c r="M21" s="14">
        <v>0</v>
      </c>
      <c r="N21" s="16">
        <f t="shared" si="0"/>
        <v>540.41</v>
      </c>
      <c r="O21" s="16">
        <f t="shared" si="1"/>
        <v>0</v>
      </c>
      <c r="P21" s="14">
        <v>210</v>
      </c>
      <c r="Q21" s="18">
        <v>45861</v>
      </c>
      <c r="R21" s="23"/>
      <c r="S21" s="20">
        <f t="shared" si="2"/>
        <v>-1.2599999999999909</v>
      </c>
    </row>
    <row r="22" spans="1:19" x14ac:dyDescent="0.25">
      <c r="A22" s="12">
        <f>'[1]Cash Variance'!A21</f>
        <v>45857</v>
      </c>
      <c r="B22" s="13">
        <v>1332.09</v>
      </c>
      <c r="C22" s="13">
        <v>622.15</v>
      </c>
      <c r="D22" s="14">
        <v>106.75</v>
      </c>
      <c r="E22" s="14">
        <v>12</v>
      </c>
      <c r="F22" s="15">
        <f t="shared" si="3"/>
        <v>2072.9899999999998</v>
      </c>
      <c r="G22" s="14">
        <v>477.58</v>
      </c>
      <c r="H22" s="14">
        <v>926.81</v>
      </c>
      <c r="I22" s="14">
        <v>53.43</v>
      </c>
      <c r="J22" s="14">
        <v>261.52</v>
      </c>
      <c r="K22" s="14">
        <v>68.75</v>
      </c>
      <c r="L22" s="14">
        <v>284.89</v>
      </c>
      <c r="M22" s="14">
        <v>0</v>
      </c>
      <c r="N22" s="16">
        <f t="shared" si="0"/>
        <v>2072.98</v>
      </c>
      <c r="O22" s="16">
        <f t="shared" si="1"/>
        <v>9.9999999997635314E-3</v>
      </c>
      <c r="P22" s="14">
        <v>475</v>
      </c>
      <c r="Q22" s="18">
        <v>45861</v>
      </c>
      <c r="R22" s="23"/>
      <c r="S22" s="20">
        <f t="shared" si="2"/>
        <v>-2.5799999999999841</v>
      </c>
    </row>
    <row r="23" spans="1:19" x14ac:dyDescent="0.25">
      <c r="A23" s="12">
        <f>'[1]Cash Variance'!A22</f>
        <v>45858</v>
      </c>
      <c r="B23" s="13">
        <v>1380.41</v>
      </c>
      <c r="C23" s="13">
        <v>4.49</v>
      </c>
      <c r="D23" s="14">
        <v>110.6</v>
      </c>
      <c r="E23" s="14">
        <v>0</v>
      </c>
      <c r="F23" s="15">
        <f t="shared" si="3"/>
        <v>1495.5</v>
      </c>
      <c r="G23" s="14">
        <v>350.03</v>
      </c>
      <c r="H23" s="14">
        <v>1145.47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6">
        <f t="shared" si="0"/>
        <v>1495.5</v>
      </c>
      <c r="O23" s="16">
        <f t="shared" si="1"/>
        <v>0</v>
      </c>
      <c r="P23" s="14">
        <v>350</v>
      </c>
      <c r="Q23" s="18">
        <v>45861</v>
      </c>
      <c r="R23" s="23"/>
      <c r="S23" s="20">
        <f t="shared" si="2"/>
        <v>-2.9999999999972715E-2</v>
      </c>
    </row>
    <row r="24" spans="1:19" x14ac:dyDescent="0.25">
      <c r="A24" s="12">
        <f>'[1]Cash Variance'!A23</f>
        <v>45859</v>
      </c>
      <c r="B24" s="13">
        <v>969.18</v>
      </c>
      <c r="C24" s="13">
        <v>314.16000000000003</v>
      </c>
      <c r="D24" s="14">
        <v>77.7</v>
      </c>
      <c r="E24" s="14">
        <v>11.45</v>
      </c>
      <c r="F24" s="15">
        <f t="shared" si="3"/>
        <v>1372.49</v>
      </c>
      <c r="G24" s="14">
        <v>257.02</v>
      </c>
      <c r="H24" s="14">
        <v>807.59</v>
      </c>
      <c r="I24" s="14">
        <v>0</v>
      </c>
      <c r="J24" s="14">
        <v>287.14999999999998</v>
      </c>
      <c r="K24" s="14">
        <v>0</v>
      </c>
      <c r="L24" s="14">
        <v>20.72</v>
      </c>
      <c r="M24" s="14">
        <v>0</v>
      </c>
      <c r="N24" s="16">
        <f t="shared" si="0"/>
        <v>1372.4800000000002</v>
      </c>
      <c r="O24" s="16">
        <f t="shared" si="1"/>
        <v>9.9999999997635314E-3</v>
      </c>
      <c r="P24" s="24">
        <v>255</v>
      </c>
      <c r="Q24" s="18">
        <v>45861</v>
      </c>
      <c r="R24" s="23"/>
      <c r="S24" s="20">
        <f t="shared" si="2"/>
        <v>-2.0199999999999818</v>
      </c>
    </row>
    <row r="25" spans="1:19" x14ac:dyDescent="0.25">
      <c r="A25" s="12">
        <f>'[1]Cash Variance'!A24</f>
        <v>45860</v>
      </c>
      <c r="B25" s="13">
        <v>1349.53</v>
      </c>
      <c r="C25" s="13">
        <v>504.29</v>
      </c>
      <c r="D25" s="14">
        <v>108.17</v>
      </c>
      <c r="E25" s="14">
        <v>5.64</v>
      </c>
      <c r="F25" s="15">
        <f>SUM(B25:E25)</f>
        <v>1967.63</v>
      </c>
      <c r="G25" s="14">
        <v>403.14</v>
      </c>
      <c r="H25" s="14">
        <v>1069.17</v>
      </c>
      <c r="I25" s="14">
        <v>0</v>
      </c>
      <c r="J25" s="14">
        <v>287.64</v>
      </c>
      <c r="K25" s="14">
        <v>20.3</v>
      </c>
      <c r="L25" s="14">
        <v>187.37</v>
      </c>
      <c r="M25" s="14">
        <v>0</v>
      </c>
      <c r="N25" s="16">
        <f t="shared" si="0"/>
        <v>1967.62</v>
      </c>
      <c r="O25" s="16">
        <f t="shared" si="1"/>
        <v>1.0000000000218279E-2</v>
      </c>
      <c r="P25" s="24">
        <v>395</v>
      </c>
      <c r="Q25" s="25">
        <v>45869</v>
      </c>
      <c r="R25" s="23"/>
      <c r="S25" s="20">
        <f t="shared" si="2"/>
        <v>-8.1399999999999864</v>
      </c>
    </row>
    <row r="26" spans="1:19" x14ac:dyDescent="0.25">
      <c r="A26" s="12">
        <f>'[1]Cash Variance'!A25</f>
        <v>45861</v>
      </c>
      <c r="B26" s="13">
        <v>1143.27</v>
      </c>
      <c r="C26" s="13">
        <v>333.03</v>
      </c>
      <c r="D26" s="14">
        <v>91.62</v>
      </c>
      <c r="E26" s="14">
        <v>2</v>
      </c>
      <c r="F26" s="15">
        <f t="shared" si="3"/>
        <v>1569.92</v>
      </c>
      <c r="G26" s="14">
        <v>441.99</v>
      </c>
      <c r="H26" s="14">
        <v>784.25</v>
      </c>
      <c r="I26" s="14">
        <v>15.65</v>
      </c>
      <c r="J26" s="14">
        <v>159.85</v>
      </c>
      <c r="K26" s="14">
        <v>29.85</v>
      </c>
      <c r="L26" s="14">
        <v>138.33000000000001</v>
      </c>
      <c r="M26" s="14">
        <v>0</v>
      </c>
      <c r="N26" s="16">
        <f t="shared" si="0"/>
        <v>1569.9199999999998</v>
      </c>
      <c r="O26" s="16">
        <f t="shared" si="1"/>
        <v>0</v>
      </c>
      <c r="P26" s="24">
        <v>440</v>
      </c>
      <c r="Q26" s="25">
        <v>45869</v>
      </c>
      <c r="R26" s="23"/>
      <c r="S26" s="20">
        <f t="shared" si="2"/>
        <v>-1.9900000000000091</v>
      </c>
    </row>
    <row r="27" spans="1:19" x14ac:dyDescent="0.25">
      <c r="A27" s="12">
        <f>'[1]Cash Variance'!A26</f>
        <v>45862</v>
      </c>
      <c r="B27" s="13">
        <v>1325.73</v>
      </c>
      <c r="C27" s="13">
        <v>309.83999999999997</v>
      </c>
      <c r="D27" s="14">
        <v>106.21</v>
      </c>
      <c r="E27" s="14">
        <v>9.8800000000000008</v>
      </c>
      <c r="F27" s="15">
        <f t="shared" si="3"/>
        <v>1751.66</v>
      </c>
      <c r="G27" s="14">
        <v>395.06</v>
      </c>
      <c r="H27" s="14">
        <v>1060.23</v>
      </c>
      <c r="I27" s="14">
        <v>0</v>
      </c>
      <c r="J27" s="14">
        <v>161.94999999999999</v>
      </c>
      <c r="K27" s="14">
        <v>25.67</v>
      </c>
      <c r="L27" s="14">
        <v>108.75</v>
      </c>
      <c r="M27" s="14">
        <v>0</v>
      </c>
      <c r="N27" s="16">
        <f t="shared" si="0"/>
        <v>1751.66</v>
      </c>
      <c r="O27" s="16">
        <f t="shared" si="1"/>
        <v>0</v>
      </c>
      <c r="P27" s="24">
        <v>395</v>
      </c>
      <c r="Q27" s="25">
        <v>45869</v>
      </c>
      <c r="R27" s="23"/>
      <c r="S27" s="20">
        <f t="shared" si="2"/>
        <v>-6.0000000000002274E-2</v>
      </c>
    </row>
    <row r="28" spans="1:19" x14ac:dyDescent="0.25">
      <c r="A28" s="12">
        <f>'[1]Cash Variance'!A27</f>
        <v>45863</v>
      </c>
      <c r="B28" s="14">
        <v>2488.91</v>
      </c>
      <c r="C28" s="14">
        <v>550.16</v>
      </c>
      <c r="D28" s="14">
        <v>199.41</v>
      </c>
      <c r="E28" s="14">
        <v>12.15</v>
      </c>
      <c r="F28" s="15">
        <f t="shared" si="3"/>
        <v>3250.6299999999997</v>
      </c>
      <c r="G28" s="14">
        <v>705.41</v>
      </c>
      <c r="H28" s="14">
        <v>1997.55</v>
      </c>
      <c r="I28" s="14">
        <v>0</v>
      </c>
      <c r="J28" s="14">
        <v>250.01</v>
      </c>
      <c r="K28" s="14">
        <v>0</v>
      </c>
      <c r="L28" s="14">
        <v>297.64999999999998</v>
      </c>
      <c r="M28" s="14">
        <v>0</v>
      </c>
      <c r="N28" s="16">
        <f t="shared" si="0"/>
        <v>3250.6200000000003</v>
      </c>
      <c r="O28" s="16">
        <f t="shared" si="1"/>
        <v>9.999999999308784E-3</v>
      </c>
      <c r="P28" s="24">
        <v>705</v>
      </c>
      <c r="Q28" s="25">
        <v>45869</v>
      </c>
      <c r="R28" s="23"/>
      <c r="S28" s="20">
        <f t="shared" si="2"/>
        <v>-0.40999999999996817</v>
      </c>
    </row>
    <row r="29" spans="1:19" x14ac:dyDescent="0.25">
      <c r="A29" s="12">
        <f>'[1]Cash Variance'!A28</f>
        <v>45864</v>
      </c>
      <c r="B29" s="13">
        <v>1491.43</v>
      </c>
      <c r="C29" s="13">
        <v>614.95000000000005</v>
      </c>
      <c r="D29" s="14">
        <v>119.5</v>
      </c>
      <c r="E29" s="14">
        <v>6.45</v>
      </c>
      <c r="F29" s="15">
        <f t="shared" si="3"/>
        <v>2232.33</v>
      </c>
      <c r="G29" s="14">
        <v>386.12</v>
      </c>
      <c r="H29" s="14">
        <v>1191.8800000000001</v>
      </c>
      <c r="I29" s="14">
        <v>45.34</v>
      </c>
      <c r="J29" s="14">
        <v>433.92</v>
      </c>
      <c r="K29" s="14">
        <v>20.54</v>
      </c>
      <c r="L29" s="14">
        <v>139.52000000000001</v>
      </c>
      <c r="M29" s="14">
        <v>15</v>
      </c>
      <c r="N29" s="16">
        <f t="shared" si="0"/>
        <v>2232.3199999999997</v>
      </c>
      <c r="O29" s="16">
        <f t="shared" si="1"/>
        <v>1.0000000000218279E-2</v>
      </c>
      <c r="P29" s="24">
        <v>385</v>
      </c>
      <c r="Q29" s="25">
        <v>45869</v>
      </c>
      <c r="R29" s="23"/>
      <c r="S29" s="20">
        <f t="shared" si="2"/>
        <v>-1.1200000000000045</v>
      </c>
    </row>
    <row r="30" spans="1:19" x14ac:dyDescent="0.25">
      <c r="A30" s="12">
        <f>'[1]Cash Variance'!A29</f>
        <v>45865</v>
      </c>
      <c r="B30" s="13">
        <v>905.34</v>
      </c>
      <c r="C30" s="13">
        <v>210.08</v>
      </c>
      <c r="D30" s="14">
        <v>72.56</v>
      </c>
      <c r="E30" s="14">
        <v>0</v>
      </c>
      <c r="F30" s="15">
        <f t="shared" si="3"/>
        <v>1187.98</v>
      </c>
      <c r="G30" s="14">
        <v>286.86</v>
      </c>
      <c r="H30" s="14">
        <v>691.04</v>
      </c>
      <c r="I30" s="14">
        <v>0</v>
      </c>
      <c r="J30" s="14">
        <v>169.05</v>
      </c>
      <c r="K30" s="14">
        <v>30.67</v>
      </c>
      <c r="L30" s="14">
        <v>10.36</v>
      </c>
      <c r="M30" s="14">
        <v>0</v>
      </c>
      <c r="N30" s="16">
        <f t="shared" si="0"/>
        <v>1187.98</v>
      </c>
      <c r="O30" s="16">
        <f t="shared" si="1"/>
        <v>0</v>
      </c>
      <c r="P30" s="24">
        <v>285</v>
      </c>
      <c r="Q30" s="25">
        <v>45869</v>
      </c>
      <c r="R30" s="23"/>
      <c r="S30" s="20">
        <f t="shared" si="2"/>
        <v>-1.8600000000000136</v>
      </c>
    </row>
    <row r="31" spans="1:19" x14ac:dyDescent="0.25">
      <c r="A31" s="12">
        <f>'[1]Cash Variance'!A30</f>
        <v>45866</v>
      </c>
      <c r="B31" s="13">
        <v>1116.01</v>
      </c>
      <c r="C31" s="13">
        <v>202.42</v>
      </c>
      <c r="D31" s="14">
        <v>89.44</v>
      </c>
      <c r="E31" s="14">
        <v>2</v>
      </c>
      <c r="F31" s="15">
        <f t="shared" si="3"/>
        <v>1409.8700000000001</v>
      </c>
      <c r="G31" s="14">
        <v>386.8</v>
      </c>
      <c r="H31" s="14">
        <v>820.65</v>
      </c>
      <c r="I31" s="14">
        <v>0</v>
      </c>
      <c r="J31" s="14">
        <v>130.6</v>
      </c>
      <c r="K31" s="14">
        <v>34.04</v>
      </c>
      <c r="L31" s="14">
        <v>37.78</v>
      </c>
      <c r="M31" s="14">
        <v>0</v>
      </c>
      <c r="N31" s="16">
        <f t="shared" si="0"/>
        <v>1409.87</v>
      </c>
      <c r="O31" s="16">
        <f t="shared" si="1"/>
        <v>0</v>
      </c>
      <c r="P31" s="24">
        <v>385</v>
      </c>
      <c r="Q31" s="25">
        <v>45869</v>
      </c>
      <c r="R31" s="23"/>
      <c r="S31" s="20">
        <f t="shared" si="2"/>
        <v>-1.8000000000000114</v>
      </c>
    </row>
    <row r="32" spans="1:19" x14ac:dyDescent="0.25">
      <c r="A32" s="12">
        <f>'[1]Cash Variance'!A31</f>
        <v>45867</v>
      </c>
      <c r="B32" s="13">
        <v>1042.28</v>
      </c>
      <c r="C32" s="13">
        <v>402.83</v>
      </c>
      <c r="D32" s="14">
        <v>83.52</v>
      </c>
      <c r="E32" s="14">
        <v>5</v>
      </c>
      <c r="F32" s="15">
        <f t="shared" si="3"/>
        <v>1533.6299999999999</v>
      </c>
      <c r="G32" s="14">
        <v>280.26</v>
      </c>
      <c r="H32" s="14">
        <v>850.54</v>
      </c>
      <c r="I32" s="14">
        <v>0</v>
      </c>
      <c r="J32" s="14">
        <v>281.79000000000002</v>
      </c>
      <c r="K32" s="14">
        <v>38.79</v>
      </c>
      <c r="L32" s="14">
        <v>82.25</v>
      </c>
      <c r="M32" s="14">
        <v>0</v>
      </c>
      <c r="N32" s="26">
        <f t="shared" si="0"/>
        <v>1533.6299999999999</v>
      </c>
      <c r="O32" s="26">
        <f t="shared" si="1"/>
        <v>0</v>
      </c>
      <c r="P32" s="24">
        <v>280</v>
      </c>
      <c r="Q32" s="25">
        <v>45869</v>
      </c>
      <c r="R32" s="23"/>
      <c r="S32" s="20">
        <f t="shared" si="2"/>
        <v>-0.25999999999999091</v>
      </c>
    </row>
    <row r="33" spans="1:19" x14ac:dyDescent="0.25">
      <c r="A33" s="12">
        <f>'[1]Cash Variance'!A32</f>
        <v>45868</v>
      </c>
      <c r="B33" s="13">
        <v>1307.03</v>
      </c>
      <c r="C33" s="13">
        <v>483.05</v>
      </c>
      <c r="D33" s="14">
        <v>104.76</v>
      </c>
      <c r="E33" s="14">
        <v>4</v>
      </c>
      <c r="F33" s="15">
        <f t="shared" si="3"/>
        <v>1898.84</v>
      </c>
      <c r="G33" s="14">
        <v>460.59</v>
      </c>
      <c r="H33" s="14">
        <f>955.19-2.49</f>
        <v>952.7</v>
      </c>
      <c r="I33" s="14">
        <v>0</v>
      </c>
      <c r="J33" s="14">
        <v>278.29000000000002</v>
      </c>
      <c r="K33" s="14">
        <v>59.69</v>
      </c>
      <c r="L33" s="14">
        <v>147.57</v>
      </c>
      <c r="M33" s="27">
        <v>0</v>
      </c>
      <c r="N33" s="28">
        <f t="shared" si="0"/>
        <v>1898.84</v>
      </c>
      <c r="O33" s="29">
        <f t="shared" si="1"/>
        <v>0</v>
      </c>
      <c r="P33" s="24">
        <v>460</v>
      </c>
      <c r="Q33" s="25">
        <v>45869</v>
      </c>
      <c r="R33" s="24">
        <v>-106</v>
      </c>
      <c r="S33" s="20">
        <f t="shared" si="2"/>
        <v>105.41000000000003</v>
      </c>
    </row>
    <row r="34" spans="1:19" ht="15.75" thickBot="1" x14ac:dyDescent="0.3">
      <c r="A34" s="12">
        <f>'[1]Cash Variance'!A33</f>
        <v>45869</v>
      </c>
      <c r="B34" s="30">
        <v>1083.05</v>
      </c>
      <c r="C34" s="13">
        <v>396.02</v>
      </c>
      <c r="D34" s="14">
        <v>86.77</v>
      </c>
      <c r="E34" s="14">
        <v>5.96</v>
      </c>
      <c r="F34" s="15">
        <f>SUM(B34:E34)</f>
        <v>1571.8</v>
      </c>
      <c r="G34" s="14">
        <v>130.52000000000001</v>
      </c>
      <c r="H34" s="14">
        <f>1050.64-8.14</f>
        <v>1042.5</v>
      </c>
      <c r="I34" s="14">
        <v>8.09</v>
      </c>
      <c r="J34" s="14">
        <v>256.67</v>
      </c>
      <c r="K34" s="14">
        <v>13.43</v>
      </c>
      <c r="L34" s="14">
        <v>120.59</v>
      </c>
      <c r="M34" s="27">
        <v>0</v>
      </c>
      <c r="N34" s="28">
        <f t="shared" si="0"/>
        <v>1571.8</v>
      </c>
      <c r="O34" s="28">
        <f t="shared" si="1"/>
        <v>0</v>
      </c>
      <c r="P34" s="24"/>
      <c r="Q34" s="18"/>
      <c r="R34" s="23"/>
      <c r="S34" s="20">
        <f t="shared" si="2"/>
        <v>-130.52000000000001</v>
      </c>
    </row>
    <row r="35" spans="1:19" ht="15.75" thickBot="1" x14ac:dyDescent="0.3">
      <c r="A35" s="31" t="s">
        <v>21</v>
      </c>
      <c r="B35" s="32">
        <f t="shared" ref="B35:M35" si="4">SUM(B4:B34)</f>
        <v>39579.629999999997</v>
      </c>
      <c r="C35" s="32">
        <f>SUM(C4:C34)</f>
        <v>10518.82</v>
      </c>
      <c r="D35" s="32">
        <f>SUM(D4:D34)</f>
        <v>3171.46</v>
      </c>
      <c r="E35" s="32">
        <f>SUM(E4:E34)</f>
        <v>196.84999999999997</v>
      </c>
      <c r="F35" s="33">
        <f>SUM(F4:F34)</f>
        <v>53466.76</v>
      </c>
      <c r="G35" s="32">
        <f>SUM(G4:G34)</f>
        <v>11643.400000000001</v>
      </c>
      <c r="H35" s="32">
        <f>SUM(H4:H34)</f>
        <v>31041.830000000009</v>
      </c>
      <c r="I35" s="32">
        <f t="shared" si="4"/>
        <v>289.99</v>
      </c>
      <c r="J35" s="32">
        <f>SUM(J4:J34)</f>
        <v>6335.3500000000013</v>
      </c>
      <c r="K35" s="32">
        <f t="shared" si="4"/>
        <v>656.7299999999999</v>
      </c>
      <c r="L35" s="32">
        <f>SUM(L4:L34)</f>
        <v>3481.2600000000007</v>
      </c>
      <c r="M35" s="32">
        <f t="shared" si="4"/>
        <v>19.309999999999999</v>
      </c>
      <c r="N35" s="33">
        <f>SUM(N4:N34)</f>
        <v>53467.870000000017</v>
      </c>
      <c r="O35" s="33">
        <f t="shared" ref="O35:R35" si="5">SUM(O4:O34)</f>
        <v>-1.1100000000008095</v>
      </c>
      <c r="P35" s="32">
        <f>SUM(P4:P34)</f>
        <v>11355</v>
      </c>
      <c r="Q35" s="32"/>
      <c r="R35" s="32">
        <f t="shared" si="5"/>
        <v>-139.97999999999999</v>
      </c>
      <c r="S35" s="20">
        <f t="shared" si="2"/>
        <v>-148.42000000000147</v>
      </c>
    </row>
    <row r="36" spans="1:19" x14ac:dyDescent="0.25">
      <c r="A36" s="34" t="s">
        <v>1</v>
      </c>
      <c r="B36" s="35">
        <f>+B35</f>
        <v>39579.629999999997</v>
      </c>
      <c r="C36" s="35">
        <f>+C35</f>
        <v>10518.82</v>
      </c>
      <c r="D36" s="35">
        <f>+D35</f>
        <v>3171.46</v>
      </c>
      <c r="E36" s="35">
        <f>+E35</f>
        <v>196.84999999999997</v>
      </c>
      <c r="F36" s="34"/>
      <c r="G36" s="35">
        <f>+G35</f>
        <v>11643.400000000001</v>
      </c>
      <c r="H36" s="34"/>
      <c r="I36" s="34"/>
      <c r="J36" s="35">
        <f>+J35</f>
        <v>6335.3500000000013</v>
      </c>
      <c r="K36" s="35">
        <f>+K35</f>
        <v>656.7299999999999</v>
      </c>
      <c r="L36" s="35">
        <f>+L35</f>
        <v>3481.2600000000007</v>
      </c>
      <c r="M36" s="35">
        <f>+M35</f>
        <v>19.309999999999999</v>
      </c>
      <c r="N36" s="34"/>
      <c r="O36" s="34"/>
      <c r="P36" s="36"/>
      <c r="Q36" s="37"/>
      <c r="R36" s="38"/>
    </row>
    <row r="37" spans="1:19" x14ac:dyDescent="0.25">
      <c r="A37" s="39" t="s">
        <v>22</v>
      </c>
      <c r="B37" s="40">
        <f>+B35</f>
        <v>39579.629999999997</v>
      </c>
      <c r="C37" s="40">
        <f>+C35</f>
        <v>10518.82</v>
      </c>
      <c r="D37" s="40">
        <f>+D35</f>
        <v>3171.46</v>
      </c>
      <c r="E37" s="40">
        <f>+E35</f>
        <v>196.84999999999997</v>
      </c>
      <c r="F37" s="39"/>
      <c r="G37" s="40">
        <f>+G35</f>
        <v>11643.400000000001</v>
      </c>
      <c r="H37" s="39"/>
      <c r="I37" s="39"/>
      <c r="J37" s="40">
        <f>+J35</f>
        <v>6335.3500000000013</v>
      </c>
      <c r="K37" s="40">
        <f>+K35</f>
        <v>656.7299999999999</v>
      </c>
      <c r="L37" s="40">
        <f>+L35</f>
        <v>3481.2600000000007</v>
      </c>
      <c r="M37" s="40">
        <f>+M35</f>
        <v>19.309999999999999</v>
      </c>
      <c r="N37" s="39"/>
      <c r="O37" s="39"/>
      <c r="P37" s="39"/>
      <c r="Q37" s="39"/>
      <c r="R37" s="39"/>
      <c r="S37" s="41"/>
    </row>
    <row r="38" spans="1:19" x14ac:dyDescent="0.25">
      <c r="A38" s="39"/>
      <c r="B38" s="39"/>
      <c r="C38" s="39"/>
      <c r="D38" s="39"/>
      <c r="E38" s="39"/>
      <c r="F38" s="39"/>
      <c r="G38" s="39"/>
      <c r="H38" s="42" t="s">
        <v>23</v>
      </c>
      <c r="I38" s="42"/>
      <c r="J38" s="43">
        <v>7640.7</v>
      </c>
      <c r="K38" s="44">
        <f>858.36-135.56-48.12</f>
        <v>674.68</v>
      </c>
      <c r="L38" s="44">
        <v>4381.87</v>
      </c>
      <c r="M38" s="39"/>
      <c r="N38" s="39"/>
      <c r="O38" s="39"/>
      <c r="P38" s="39"/>
      <c r="Q38" s="39"/>
      <c r="R38" s="39"/>
    </row>
    <row r="39" spans="1:19" x14ac:dyDescent="0.25">
      <c r="A39" s="39"/>
      <c r="B39" s="39"/>
      <c r="C39" s="39"/>
      <c r="D39" s="39"/>
      <c r="E39" s="39"/>
      <c r="F39" s="39"/>
      <c r="G39" s="39"/>
      <c r="H39" s="42" t="s">
        <v>24</v>
      </c>
      <c r="I39" s="42"/>
      <c r="J39" s="45">
        <f>+J38-J35</f>
        <v>1305.3499999999985</v>
      </c>
      <c r="K39" s="46">
        <f>+K38-K35</f>
        <v>17.950000000000045</v>
      </c>
      <c r="L39" s="46">
        <f>+L38-L35</f>
        <v>900.60999999999922</v>
      </c>
      <c r="M39" s="39"/>
      <c r="N39" s="39"/>
      <c r="O39" s="39"/>
      <c r="P39" s="39"/>
      <c r="Q39" s="39"/>
      <c r="R39" s="39"/>
    </row>
    <row r="40" spans="1:19" x14ac:dyDescent="0.25">
      <c r="A40" s="39"/>
      <c r="B40" s="39"/>
      <c r="C40" s="39"/>
      <c r="D40" s="39"/>
      <c r="E40" s="39"/>
      <c r="F40" s="39"/>
      <c r="G40" s="39"/>
      <c r="H40" s="42" t="s">
        <v>25</v>
      </c>
      <c r="I40" s="42"/>
      <c r="J40" s="43">
        <v>-1307.76</v>
      </c>
      <c r="K40" s="44">
        <v>-69.3</v>
      </c>
      <c r="L40" s="44">
        <f>-742.48+230.73</f>
        <v>-511.75</v>
      </c>
      <c r="M40" s="39"/>
      <c r="N40" s="39"/>
      <c r="O40" s="39"/>
      <c r="P40" s="39"/>
      <c r="Q40" s="39"/>
      <c r="R40" s="39"/>
    </row>
    <row r="41" spans="1:19" x14ac:dyDescent="0.25">
      <c r="A41" s="39"/>
      <c r="B41" s="39"/>
      <c r="C41" s="39"/>
      <c r="D41" s="39"/>
      <c r="E41" s="39"/>
      <c r="F41" s="39"/>
      <c r="G41" s="39"/>
      <c r="H41" s="42" t="s">
        <v>26</v>
      </c>
      <c r="I41" s="42"/>
      <c r="J41" s="43">
        <v>-1474.49</v>
      </c>
      <c r="K41" s="44">
        <f>-62.35-35.47</f>
        <v>-97.82</v>
      </c>
      <c r="L41" s="44">
        <v>-801.28</v>
      </c>
      <c r="M41" s="39"/>
      <c r="N41" s="39"/>
      <c r="O41" s="39"/>
      <c r="P41" s="39"/>
      <c r="Q41" s="39"/>
      <c r="R41" s="39"/>
    </row>
    <row r="42" spans="1:19" x14ac:dyDescent="0.25">
      <c r="A42" s="39"/>
      <c r="B42" s="39"/>
      <c r="C42" s="39"/>
      <c r="D42" s="39"/>
      <c r="E42" s="39"/>
      <c r="F42" s="39"/>
      <c r="G42" s="39"/>
      <c r="H42" s="42" t="s">
        <v>27</v>
      </c>
      <c r="I42" s="42"/>
      <c r="J42" s="43">
        <v>-251.91</v>
      </c>
      <c r="K42" s="44">
        <v>-32.72</v>
      </c>
      <c r="L42" s="44">
        <v>-36.83</v>
      </c>
      <c r="M42" s="39"/>
      <c r="N42" s="39"/>
      <c r="O42" s="39"/>
      <c r="P42" s="39"/>
      <c r="Q42" s="39"/>
      <c r="R42" s="39"/>
    </row>
    <row r="43" spans="1:19" ht="15.75" thickBot="1" x14ac:dyDescent="0.3">
      <c r="A43" s="39"/>
      <c r="B43" s="39"/>
      <c r="C43" s="39"/>
      <c r="D43" s="39"/>
      <c r="E43" s="39"/>
      <c r="F43" s="39"/>
      <c r="G43" s="39"/>
      <c r="H43" s="47" t="s">
        <v>28</v>
      </c>
      <c r="I43" s="47"/>
      <c r="J43" s="48">
        <f>+J38+J40+J41+J42</f>
        <v>4606.54</v>
      </c>
      <c r="K43" s="49">
        <f>+K38+K40+K41+K42</f>
        <v>474.84000000000003</v>
      </c>
      <c r="L43" s="49">
        <f>+L38+L40+L41+L42</f>
        <v>3032.01</v>
      </c>
      <c r="M43" s="39"/>
      <c r="N43" s="39"/>
      <c r="O43" s="39"/>
      <c r="P43" s="39"/>
      <c r="Q43" s="39"/>
      <c r="R43" s="39"/>
    </row>
    <row r="44" spans="1:19" ht="15.75" thickTop="1" x14ac:dyDescent="0.25"/>
  </sheetData>
  <mergeCells count="9">
    <mergeCell ref="H41:I41"/>
    <mergeCell ref="H42:I42"/>
    <mergeCell ref="H43:I43"/>
    <mergeCell ref="A1:S1"/>
    <mergeCell ref="A2:O2"/>
    <mergeCell ref="P2:S2"/>
    <mergeCell ref="H38:I38"/>
    <mergeCell ref="H39:I39"/>
    <mergeCell ref="H40:I4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2025-08-20T12:28:12Z</dcterms:created>
  <dcterms:modified xsi:type="dcterms:W3CDTF">2025-08-20T12:36:22Z</dcterms:modified>
</cp:coreProperties>
</file>