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"/>
    </mc:Choice>
  </mc:AlternateContent>
  <xr:revisionPtr revIDLastSave="0" documentId="13_ncr:1_{43626A73-5236-43F3-BC7E-0FD0A34436BA}" xr6:coauthVersionLast="47" xr6:coauthVersionMax="47" xr10:uidLastSave="{00000000-0000-0000-0000-000000000000}"/>
  <bookViews>
    <workbookView xWindow="-120" yWindow="-120" windowWidth="20730" windowHeight="11040" xr2:uid="{7C54D1CC-E589-453A-806A-A2D28AD861E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35" i="1"/>
  <c r="L39" i="1" s="1"/>
  <c r="K35" i="1"/>
  <c r="K39" i="1" s="1"/>
  <c r="J35" i="1"/>
  <c r="H35" i="1"/>
  <c r="G35" i="1"/>
  <c r="G37" i="1" s="1"/>
  <c r="D35" i="1"/>
  <c r="N4" i="1"/>
  <c r="H4" i="1"/>
  <c r="F4" i="1"/>
  <c r="A4" i="1"/>
  <c r="J43" i="1"/>
  <c r="K41" i="1"/>
  <c r="L40" i="1"/>
  <c r="J39" i="1"/>
  <c r="L38" i="1"/>
  <c r="L43" i="1" s="1"/>
  <c r="K38" i="1"/>
  <c r="K43" i="1" s="1"/>
  <c r="M37" i="1"/>
  <c r="J37" i="1"/>
  <c r="E37" i="1"/>
  <c r="C37" i="1"/>
  <c r="B37" i="1"/>
  <c r="K36" i="1"/>
  <c r="J36" i="1"/>
  <c r="C36" i="1"/>
  <c r="R35" i="1"/>
  <c r="M35" i="1"/>
  <c r="M36" i="1" s="1"/>
  <c r="I35" i="1"/>
  <c r="E35" i="1"/>
  <c r="E36" i="1" s="1"/>
  <c r="D37" i="1"/>
  <c r="C35" i="1"/>
  <c r="B35" i="1"/>
  <c r="B36" i="1" s="1"/>
  <c r="S34" i="1"/>
  <c r="N34" i="1"/>
  <c r="O34" i="1" s="1"/>
  <c r="F34" i="1"/>
  <c r="A34" i="1"/>
  <c r="S33" i="1"/>
  <c r="N33" i="1"/>
  <c r="F33" i="1"/>
  <c r="O33" i="1" s="1"/>
  <c r="A33" i="1"/>
  <c r="S32" i="1"/>
  <c r="N32" i="1"/>
  <c r="F32" i="1"/>
  <c r="O32" i="1" s="1"/>
  <c r="A32" i="1"/>
  <c r="S31" i="1"/>
  <c r="N31" i="1"/>
  <c r="F31" i="1"/>
  <c r="O31" i="1" s="1"/>
  <c r="A31" i="1"/>
  <c r="S30" i="1"/>
  <c r="H30" i="1"/>
  <c r="N30" i="1" s="1"/>
  <c r="F30" i="1"/>
  <c r="O30" i="1" s="1"/>
  <c r="A30" i="1"/>
  <c r="S29" i="1"/>
  <c r="H29" i="1"/>
  <c r="N29" i="1" s="1"/>
  <c r="F29" i="1"/>
  <c r="A29" i="1"/>
  <c r="S28" i="1"/>
  <c r="N28" i="1"/>
  <c r="O28" i="1" s="1"/>
  <c r="F28" i="1"/>
  <c r="A28" i="1"/>
  <c r="S27" i="1"/>
  <c r="N27" i="1"/>
  <c r="F27" i="1"/>
  <c r="O27" i="1" s="1"/>
  <c r="A27" i="1"/>
  <c r="S26" i="1"/>
  <c r="H26" i="1"/>
  <c r="N26" i="1" s="1"/>
  <c r="F26" i="1"/>
  <c r="O26" i="1" s="1"/>
  <c r="A26" i="1"/>
  <c r="S25" i="1"/>
  <c r="N25" i="1"/>
  <c r="O25" i="1" s="1"/>
  <c r="F25" i="1"/>
  <c r="A25" i="1"/>
  <c r="S24" i="1"/>
  <c r="N24" i="1"/>
  <c r="F24" i="1"/>
  <c r="O24" i="1" s="1"/>
  <c r="A24" i="1"/>
  <c r="S23" i="1"/>
  <c r="N23" i="1"/>
  <c r="F23" i="1"/>
  <c r="O23" i="1" s="1"/>
  <c r="A23" i="1"/>
  <c r="S22" i="1"/>
  <c r="H22" i="1"/>
  <c r="N22" i="1" s="1"/>
  <c r="O22" i="1" s="1"/>
  <c r="F22" i="1"/>
  <c r="A22" i="1"/>
  <c r="S21" i="1"/>
  <c r="H21" i="1"/>
  <c r="N21" i="1" s="1"/>
  <c r="F21" i="1"/>
  <c r="A21" i="1"/>
  <c r="S20" i="1"/>
  <c r="N20" i="1"/>
  <c r="H20" i="1"/>
  <c r="F20" i="1"/>
  <c r="O20" i="1" s="1"/>
  <c r="A20" i="1"/>
  <c r="S19" i="1"/>
  <c r="H19" i="1"/>
  <c r="N19" i="1" s="1"/>
  <c r="O19" i="1" s="1"/>
  <c r="F19" i="1"/>
  <c r="A19" i="1"/>
  <c r="S18" i="1"/>
  <c r="H18" i="1"/>
  <c r="N18" i="1" s="1"/>
  <c r="O18" i="1" s="1"/>
  <c r="F18" i="1"/>
  <c r="A18" i="1"/>
  <c r="S17" i="1"/>
  <c r="H17" i="1"/>
  <c r="N17" i="1" s="1"/>
  <c r="F17" i="1"/>
  <c r="A17" i="1"/>
  <c r="S16" i="1"/>
  <c r="N16" i="1"/>
  <c r="H16" i="1"/>
  <c r="F16" i="1"/>
  <c r="O16" i="1" s="1"/>
  <c r="A16" i="1"/>
  <c r="S15" i="1"/>
  <c r="H15" i="1"/>
  <c r="N15" i="1" s="1"/>
  <c r="O15" i="1" s="1"/>
  <c r="F15" i="1"/>
  <c r="A15" i="1"/>
  <c r="S14" i="1"/>
  <c r="N14" i="1"/>
  <c r="F14" i="1"/>
  <c r="O14" i="1" s="1"/>
  <c r="A14" i="1"/>
  <c r="S13" i="1"/>
  <c r="H13" i="1"/>
  <c r="N13" i="1" s="1"/>
  <c r="F13" i="1"/>
  <c r="O13" i="1" s="1"/>
  <c r="A13" i="1"/>
  <c r="S12" i="1"/>
  <c r="H12" i="1"/>
  <c r="N12" i="1" s="1"/>
  <c r="F12" i="1"/>
  <c r="A12" i="1"/>
  <c r="S11" i="1"/>
  <c r="N11" i="1"/>
  <c r="O11" i="1" s="1"/>
  <c r="H11" i="1"/>
  <c r="F11" i="1"/>
  <c r="A11" i="1"/>
  <c r="S10" i="1"/>
  <c r="H10" i="1"/>
  <c r="N10" i="1" s="1"/>
  <c r="F10" i="1"/>
  <c r="O10" i="1" s="1"/>
  <c r="A10" i="1"/>
  <c r="S9" i="1"/>
  <c r="H9" i="1"/>
  <c r="N9" i="1" s="1"/>
  <c r="F9" i="1"/>
  <c r="O9" i="1" s="1"/>
  <c r="A9" i="1"/>
  <c r="S8" i="1"/>
  <c r="H8" i="1"/>
  <c r="N8" i="1" s="1"/>
  <c r="F8" i="1"/>
  <c r="O8" i="1" s="1"/>
  <c r="A8" i="1"/>
  <c r="S7" i="1"/>
  <c r="N7" i="1"/>
  <c r="O7" i="1" s="1"/>
  <c r="F7" i="1"/>
  <c r="A7" i="1"/>
  <c r="S6" i="1"/>
  <c r="H6" i="1"/>
  <c r="N6" i="1" s="1"/>
  <c r="F6" i="1"/>
  <c r="O6" i="1" s="1"/>
  <c r="A6" i="1"/>
  <c r="S5" i="1"/>
  <c r="N5" i="1"/>
  <c r="H5" i="1"/>
  <c r="F5" i="1"/>
  <c r="O5" i="1" s="1"/>
  <c r="A5" i="1"/>
  <c r="S4" i="1"/>
  <c r="S35" i="1" s="1"/>
  <c r="F35" i="1"/>
  <c r="L37" i="1" l="1"/>
  <c r="K37" i="1"/>
  <c r="O4" i="1"/>
  <c r="O17" i="1"/>
  <c r="O21" i="1"/>
  <c r="O29" i="1"/>
  <c r="O12" i="1"/>
  <c r="L36" i="1"/>
  <c r="G36" i="1"/>
  <c r="D36" i="1"/>
  <c r="O35" i="1" l="1"/>
</calcChain>
</file>

<file path=xl/sharedStrings.xml><?xml version="1.0" encoding="utf-8"?>
<sst xmlns="http://schemas.openxmlformats.org/spreadsheetml/2006/main" count="30" uniqueCount="29">
  <si>
    <t xml:space="preserve"> OSWEGO RD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</si>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</sst>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right"/>
    </xf>
    <xf numFmtId="164" fontId="5" fillId="3" borderId="12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66" fontId="5" fillId="0" borderId="13" xfId="0" applyNumberFormat="1" applyFont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5" fontId="5" fillId="0" borderId="15" xfId="0" applyNumberFormat="1" applyFont="1" applyBorder="1" applyAlignment="1">
      <alignment horizontal="right"/>
    </xf>
    <xf numFmtId="0" fontId="0" fillId="0" borderId="11" xfId="0" applyBorder="1"/>
    <xf numFmtId="14" fontId="5" fillId="0" borderId="14" xfId="0" applyNumberFormat="1" applyFont="1" applyBorder="1" applyAlignment="1">
      <alignment horizontal="right"/>
    </xf>
    <xf numFmtId="165" fontId="5" fillId="0" borderId="16" xfId="0" applyNumberFormat="1" applyFont="1" applyBorder="1" applyAlignment="1">
      <alignment horizontal="right"/>
    </xf>
    <xf numFmtId="0" fontId="6" fillId="2" borderId="17" xfId="0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right"/>
    </xf>
    <xf numFmtId="165" fontId="6" fillId="3" borderId="18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53BD-7F1B-431C-B8CF-2269103F96C1}">
  <dimension ref="A1:S44"/>
  <sheetViews>
    <sheetView tabSelected="1" workbookViewId="0">
      <selection activeCell="S3" sqref="S3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7" width="9.85546875" bestFit="1" customWidth="1"/>
    <col min="8" max="8" width="10.85546875" bestFit="1" customWidth="1"/>
    <col min="10" max="12" width="9.85546875" bestFit="1" customWidth="1"/>
    <col min="14" max="14" width="10.85546875" bestFit="1" customWidth="1"/>
    <col min="15" max="15" width="11.42578125" customWidth="1"/>
    <col min="16" max="16" width="15.28515625" customWidth="1"/>
    <col min="17" max="17" width="10.42578125" bestFit="1" customWidth="1"/>
    <col min="19" max="19" width="11.7109375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63.75" thickBot="1" x14ac:dyDescent="0.3">
      <c r="A3" s="6">
        <v>45589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2091.5100000000002</v>
      </c>
      <c r="C4" s="13">
        <v>21.7</v>
      </c>
      <c r="D4" s="14">
        <v>167.46</v>
      </c>
      <c r="E4" s="14">
        <v>15.64</v>
      </c>
      <c r="F4" s="15">
        <f>SUM(B4:E4)</f>
        <v>2296.31</v>
      </c>
      <c r="G4" s="14">
        <v>364.94</v>
      </c>
      <c r="H4" s="14">
        <f>1389.49-3.11</f>
        <v>1386.38</v>
      </c>
      <c r="I4" s="14">
        <v>8.09</v>
      </c>
      <c r="J4" s="14">
        <v>357.13</v>
      </c>
      <c r="K4" s="14">
        <v>60.02</v>
      </c>
      <c r="L4" s="14">
        <v>119.75</v>
      </c>
      <c r="M4" s="14">
        <v>0</v>
      </c>
      <c r="N4" s="16">
        <f>SUM(G4:M4)</f>
        <v>2296.31</v>
      </c>
      <c r="O4" s="16">
        <f t="shared" ref="O4:O34" si="0">+F4-N4</f>
        <v>0</v>
      </c>
      <c r="P4" s="14">
        <v>365</v>
      </c>
      <c r="Q4" s="17">
        <v>45841</v>
      </c>
      <c r="R4" s="18"/>
      <c r="S4" s="19">
        <f>P4-G4-R4</f>
        <v>6.0000000000002274E-2</v>
      </c>
    </row>
    <row r="5" spans="1:19" x14ac:dyDescent="0.25">
      <c r="A5" s="12">
        <f>'[1]Cash Variance'!A4</f>
        <v>45840</v>
      </c>
      <c r="B5" s="13">
        <v>1624.6</v>
      </c>
      <c r="C5" s="13">
        <v>17.91</v>
      </c>
      <c r="D5" s="14">
        <v>130.06</v>
      </c>
      <c r="E5" s="14">
        <v>40.9</v>
      </c>
      <c r="F5" s="15">
        <f t="shared" ref="F5:F34" si="1">SUM(B5:E5)</f>
        <v>1813.47</v>
      </c>
      <c r="G5" s="14">
        <v>251.52</v>
      </c>
      <c r="H5" s="14">
        <f>1264.71-3.91</f>
        <v>1260.8</v>
      </c>
      <c r="I5" s="14">
        <v>8.09</v>
      </c>
      <c r="J5" s="14">
        <v>223.77</v>
      </c>
      <c r="K5" s="14">
        <v>50.15</v>
      </c>
      <c r="L5" s="14">
        <v>19.14</v>
      </c>
      <c r="M5" s="14">
        <v>0</v>
      </c>
      <c r="N5" s="16">
        <f t="shared" ref="N4:N34" si="2">SUM(G5:M5)</f>
        <v>1813.47</v>
      </c>
      <c r="O5" s="16">
        <f t="shared" si="0"/>
        <v>0</v>
      </c>
      <c r="P5" s="14">
        <v>251.52</v>
      </c>
      <c r="Q5" s="17">
        <v>45841</v>
      </c>
      <c r="R5" s="18"/>
      <c r="S5" s="19">
        <f t="shared" ref="S5:S34" si="3">P5-G5-R5</f>
        <v>0</v>
      </c>
    </row>
    <row r="6" spans="1:19" x14ac:dyDescent="0.25">
      <c r="A6" s="12">
        <f>'[1]Cash Variance'!A5</f>
        <v>45841</v>
      </c>
      <c r="B6" s="13">
        <v>2222.38</v>
      </c>
      <c r="C6" s="14">
        <v>31.63</v>
      </c>
      <c r="D6" s="14">
        <v>177.89</v>
      </c>
      <c r="E6" s="14">
        <v>20.03</v>
      </c>
      <c r="F6" s="15">
        <f t="shared" si="1"/>
        <v>2451.9300000000003</v>
      </c>
      <c r="G6" s="14">
        <v>278.99</v>
      </c>
      <c r="H6" s="14">
        <f>1483.33-6.28</f>
        <v>1477.05</v>
      </c>
      <c r="I6" s="14">
        <v>44.24</v>
      </c>
      <c r="J6" s="14">
        <v>458.34</v>
      </c>
      <c r="K6" s="14">
        <v>80.58</v>
      </c>
      <c r="L6" s="14">
        <v>112.73</v>
      </c>
      <c r="M6" s="14">
        <v>0</v>
      </c>
      <c r="N6" s="16">
        <f t="shared" si="2"/>
        <v>2451.9299999999998</v>
      </c>
      <c r="O6" s="16">
        <f t="shared" si="0"/>
        <v>0</v>
      </c>
      <c r="P6" s="14">
        <v>280</v>
      </c>
      <c r="Q6" s="17">
        <v>45846</v>
      </c>
      <c r="R6" s="18"/>
      <c r="S6" s="19">
        <f t="shared" si="3"/>
        <v>1.0099999999999909</v>
      </c>
    </row>
    <row r="7" spans="1:19" x14ac:dyDescent="0.25">
      <c r="A7" s="12">
        <f>'[1]Cash Variance'!A6</f>
        <v>45842</v>
      </c>
      <c r="B7" s="13">
        <v>1336.29</v>
      </c>
      <c r="C7" s="13">
        <v>21.78</v>
      </c>
      <c r="D7" s="14">
        <v>106.98</v>
      </c>
      <c r="E7" s="14">
        <v>1.75</v>
      </c>
      <c r="F7" s="15">
        <f t="shared" si="1"/>
        <v>1466.8</v>
      </c>
      <c r="G7" s="14">
        <v>198.94</v>
      </c>
      <c r="H7" s="14">
        <v>917.88</v>
      </c>
      <c r="I7" s="14">
        <v>0</v>
      </c>
      <c r="J7" s="14">
        <v>237.16</v>
      </c>
      <c r="K7" s="14">
        <v>36.92</v>
      </c>
      <c r="L7" s="14">
        <v>68.44</v>
      </c>
      <c r="M7" s="14">
        <v>9.17</v>
      </c>
      <c r="N7" s="16">
        <f t="shared" si="2"/>
        <v>1468.5100000000002</v>
      </c>
      <c r="O7" s="16">
        <f t="shared" si="0"/>
        <v>-1.7100000000002638</v>
      </c>
      <c r="P7" s="14">
        <v>198.95</v>
      </c>
      <c r="Q7" s="17">
        <v>45846</v>
      </c>
      <c r="R7" s="18"/>
      <c r="S7" s="19">
        <f t="shared" si="3"/>
        <v>9.9999999999909051E-3</v>
      </c>
    </row>
    <row r="8" spans="1:19" x14ac:dyDescent="0.25">
      <c r="A8" s="12">
        <f>'[1]Cash Variance'!A7</f>
        <v>45843</v>
      </c>
      <c r="B8" s="13">
        <v>1580.56</v>
      </c>
      <c r="C8" s="13">
        <v>9.25</v>
      </c>
      <c r="D8" s="14">
        <v>126.59</v>
      </c>
      <c r="E8" s="14">
        <v>16.5</v>
      </c>
      <c r="F8" s="15">
        <f t="shared" si="1"/>
        <v>1732.8999999999999</v>
      </c>
      <c r="G8" s="14">
        <v>312.93</v>
      </c>
      <c r="H8" s="14">
        <f>1076.46-2.75</f>
        <v>1073.71</v>
      </c>
      <c r="I8" s="14">
        <v>32.72</v>
      </c>
      <c r="J8" s="14">
        <v>235.1</v>
      </c>
      <c r="K8" s="14">
        <v>22.55</v>
      </c>
      <c r="L8" s="14">
        <v>43.84</v>
      </c>
      <c r="M8" s="14">
        <v>12.05</v>
      </c>
      <c r="N8" s="16">
        <f t="shared" si="2"/>
        <v>1732.8999999999999</v>
      </c>
      <c r="O8" s="16">
        <f t="shared" si="0"/>
        <v>0</v>
      </c>
      <c r="P8" s="14">
        <v>314.57</v>
      </c>
      <c r="Q8" s="17">
        <v>45846</v>
      </c>
      <c r="R8" s="18"/>
      <c r="S8" s="19">
        <f t="shared" si="3"/>
        <v>1.6399999999999864</v>
      </c>
    </row>
    <row r="9" spans="1:19" x14ac:dyDescent="0.25">
      <c r="A9" s="12">
        <f>'[1]Cash Variance'!A8</f>
        <v>45844</v>
      </c>
      <c r="B9" s="13">
        <v>1888.09</v>
      </c>
      <c r="C9" s="13">
        <v>9.33</v>
      </c>
      <c r="D9" s="14">
        <v>151.19</v>
      </c>
      <c r="E9" s="14">
        <v>20.91</v>
      </c>
      <c r="F9" s="15">
        <f t="shared" si="1"/>
        <v>2069.5199999999995</v>
      </c>
      <c r="G9" s="14">
        <v>212.55</v>
      </c>
      <c r="H9" s="14">
        <f>1330.16-8.56</f>
        <v>1321.6000000000001</v>
      </c>
      <c r="I9" s="14">
        <v>0</v>
      </c>
      <c r="J9" s="14">
        <v>362.8</v>
      </c>
      <c r="K9" s="14">
        <v>62.55</v>
      </c>
      <c r="L9" s="14">
        <v>110.02</v>
      </c>
      <c r="M9" s="14">
        <v>0</v>
      </c>
      <c r="N9" s="16">
        <f t="shared" si="2"/>
        <v>2069.52</v>
      </c>
      <c r="O9" s="16">
        <f t="shared" si="0"/>
        <v>0</v>
      </c>
      <c r="P9" s="14">
        <v>213.39</v>
      </c>
      <c r="Q9" s="17">
        <v>45846</v>
      </c>
      <c r="R9" s="18"/>
      <c r="S9" s="19">
        <f t="shared" si="3"/>
        <v>0.83999999999997499</v>
      </c>
    </row>
    <row r="10" spans="1:19" x14ac:dyDescent="0.25">
      <c r="A10" s="12">
        <f>'[1]Cash Variance'!A9</f>
        <v>45845</v>
      </c>
      <c r="B10" s="13">
        <v>2102.56</v>
      </c>
      <c r="C10" s="13">
        <v>9.3699999999999992</v>
      </c>
      <c r="D10" s="14">
        <v>168.33</v>
      </c>
      <c r="E10" s="14">
        <v>21.55</v>
      </c>
      <c r="F10" s="15">
        <f t="shared" si="1"/>
        <v>2301.81</v>
      </c>
      <c r="G10" s="14">
        <v>489.2</v>
      </c>
      <c r="H10" s="14">
        <f>1338.28-2.96</f>
        <v>1335.32</v>
      </c>
      <c r="I10" s="14">
        <v>53.4</v>
      </c>
      <c r="J10" s="14">
        <v>394.47</v>
      </c>
      <c r="K10" s="14">
        <v>0</v>
      </c>
      <c r="L10" s="14">
        <v>29.42</v>
      </c>
      <c r="M10" s="14">
        <v>0</v>
      </c>
      <c r="N10" s="16">
        <f t="shared" si="2"/>
        <v>2301.8100000000004</v>
      </c>
      <c r="O10" s="16">
        <f t="shared" si="0"/>
        <v>0</v>
      </c>
      <c r="P10" s="14">
        <v>488.83</v>
      </c>
      <c r="Q10" s="17">
        <v>45846</v>
      </c>
      <c r="R10" s="20"/>
      <c r="S10" s="19">
        <f t="shared" si="3"/>
        <v>-0.37000000000000455</v>
      </c>
    </row>
    <row r="11" spans="1:19" x14ac:dyDescent="0.25">
      <c r="A11" s="12">
        <f>'[1]Cash Variance'!A10</f>
        <v>45846</v>
      </c>
      <c r="B11" s="13">
        <v>1681.54</v>
      </c>
      <c r="C11" s="13">
        <v>4.49</v>
      </c>
      <c r="D11" s="21">
        <v>134.63</v>
      </c>
      <c r="E11" s="14">
        <v>18.2</v>
      </c>
      <c r="F11" s="15">
        <f t="shared" si="1"/>
        <v>1838.86</v>
      </c>
      <c r="G11" s="14">
        <v>319.81</v>
      </c>
      <c r="H11" s="14">
        <f>1293.08-1.91</f>
        <v>1291.1699999999998</v>
      </c>
      <c r="I11" s="14">
        <v>8.09</v>
      </c>
      <c r="J11" s="14">
        <v>182.7</v>
      </c>
      <c r="K11" s="14">
        <v>0</v>
      </c>
      <c r="L11" s="14">
        <v>31.53</v>
      </c>
      <c r="M11" s="14">
        <v>5.56</v>
      </c>
      <c r="N11" s="16">
        <f t="shared" si="2"/>
        <v>1838.8599999999997</v>
      </c>
      <c r="O11" s="16">
        <f t="shared" si="0"/>
        <v>0</v>
      </c>
      <c r="P11" s="14">
        <v>320</v>
      </c>
      <c r="Q11" s="17">
        <v>45848</v>
      </c>
      <c r="R11" s="18"/>
      <c r="S11" s="19">
        <f t="shared" si="3"/>
        <v>0.18999999999999773</v>
      </c>
    </row>
    <row r="12" spans="1:19" x14ac:dyDescent="0.25">
      <c r="A12" s="12">
        <f>'[1]Cash Variance'!A11</f>
        <v>45847</v>
      </c>
      <c r="B12" s="13">
        <v>1586.25</v>
      </c>
      <c r="C12" s="14">
        <v>17.93</v>
      </c>
      <c r="D12" s="21">
        <v>127.02</v>
      </c>
      <c r="E12" s="14">
        <v>10.72</v>
      </c>
      <c r="F12" s="15">
        <f t="shared" si="1"/>
        <v>1741.92</v>
      </c>
      <c r="G12" s="14">
        <v>222.99</v>
      </c>
      <c r="H12" s="14">
        <f>1092.89-7.46</f>
        <v>1085.43</v>
      </c>
      <c r="I12" s="14">
        <v>24.26</v>
      </c>
      <c r="J12" s="14">
        <v>278.12</v>
      </c>
      <c r="K12" s="14">
        <v>56.94</v>
      </c>
      <c r="L12" s="14">
        <v>74.180000000000007</v>
      </c>
      <c r="M12" s="14">
        <v>0</v>
      </c>
      <c r="N12" s="16">
        <f t="shared" si="2"/>
        <v>1741.9200000000003</v>
      </c>
      <c r="O12" s="16">
        <f t="shared" si="0"/>
        <v>0</v>
      </c>
      <c r="P12" s="14">
        <v>222.92</v>
      </c>
      <c r="Q12" s="17">
        <v>45848</v>
      </c>
      <c r="R12" s="18"/>
      <c r="S12" s="19">
        <f t="shared" si="3"/>
        <v>-7.00000000000216E-2</v>
      </c>
    </row>
    <row r="13" spans="1:19" x14ac:dyDescent="0.25">
      <c r="A13" s="12">
        <f>'[1]Cash Variance'!A12</f>
        <v>45848</v>
      </c>
      <c r="B13" s="13">
        <v>1828.77</v>
      </c>
      <c r="C13" s="13">
        <v>44.73</v>
      </c>
      <c r="D13" s="14">
        <v>146.4</v>
      </c>
      <c r="E13" s="14">
        <v>12.02</v>
      </c>
      <c r="F13" s="15">
        <f t="shared" si="1"/>
        <v>2031.92</v>
      </c>
      <c r="G13" s="14">
        <v>197.91</v>
      </c>
      <c r="H13" s="14">
        <f>1356.44-2.82</f>
        <v>1353.6200000000001</v>
      </c>
      <c r="I13" s="14">
        <v>69.59</v>
      </c>
      <c r="J13" s="14">
        <v>259.69</v>
      </c>
      <c r="K13" s="14">
        <v>0</v>
      </c>
      <c r="L13" s="14">
        <v>141.11000000000001</v>
      </c>
      <c r="M13" s="14">
        <v>10</v>
      </c>
      <c r="N13" s="16">
        <f t="shared" si="2"/>
        <v>2031.92</v>
      </c>
      <c r="O13" s="16">
        <f t="shared" si="0"/>
        <v>0</v>
      </c>
      <c r="P13" s="14">
        <v>197.91</v>
      </c>
      <c r="Q13" s="17">
        <v>45849</v>
      </c>
      <c r="R13" s="18"/>
      <c r="S13" s="19">
        <f t="shared" si="3"/>
        <v>0</v>
      </c>
    </row>
    <row r="14" spans="1:19" x14ac:dyDescent="0.25">
      <c r="A14" s="12">
        <f>'[1]Cash Variance'!A13</f>
        <v>45849</v>
      </c>
      <c r="B14" s="13">
        <v>2360.08</v>
      </c>
      <c r="C14" s="13">
        <v>13.47</v>
      </c>
      <c r="D14" s="14">
        <v>188.97</v>
      </c>
      <c r="E14" s="14">
        <v>22.58</v>
      </c>
      <c r="F14" s="15">
        <f t="shared" si="1"/>
        <v>2585.0999999999995</v>
      </c>
      <c r="G14" s="14">
        <v>274.10000000000002</v>
      </c>
      <c r="H14" s="14">
        <v>1957.11</v>
      </c>
      <c r="I14" s="14">
        <v>66.34</v>
      </c>
      <c r="J14" s="14">
        <v>213.58</v>
      </c>
      <c r="K14" s="14">
        <v>30.95</v>
      </c>
      <c r="L14" s="14">
        <v>13.07</v>
      </c>
      <c r="M14" s="14">
        <v>29.76</v>
      </c>
      <c r="N14" s="16">
        <f t="shared" si="2"/>
        <v>2584.9100000000003</v>
      </c>
      <c r="O14" s="16">
        <f t="shared" si="0"/>
        <v>0.18999999999914507</v>
      </c>
      <c r="P14" s="14">
        <v>274.10000000000002</v>
      </c>
      <c r="Q14" s="17">
        <v>45854</v>
      </c>
      <c r="R14" s="18"/>
      <c r="S14" s="19">
        <f t="shared" si="3"/>
        <v>0</v>
      </c>
    </row>
    <row r="15" spans="1:19" x14ac:dyDescent="0.25">
      <c r="A15" s="12">
        <f>'[1]Cash Variance'!A14</f>
        <v>45850</v>
      </c>
      <c r="B15" s="13">
        <v>2426.08</v>
      </c>
      <c r="C15" s="13">
        <v>17.84</v>
      </c>
      <c r="D15" s="14">
        <v>194.21</v>
      </c>
      <c r="E15" s="14">
        <v>59.8</v>
      </c>
      <c r="F15" s="15">
        <f t="shared" si="1"/>
        <v>2697.9300000000003</v>
      </c>
      <c r="G15" s="14">
        <v>130.08000000000001</v>
      </c>
      <c r="H15" s="14">
        <f>2056.81-5.6</f>
        <v>2051.21</v>
      </c>
      <c r="I15" s="14">
        <v>23.04</v>
      </c>
      <c r="J15" s="14">
        <v>403.58</v>
      </c>
      <c r="K15" s="14">
        <v>22.56</v>
      </c>
      <c r="L15" s="14">
        <v>67.459999999999994</v>
      </c>
      <c r="M15" s="14">
        <v>0</v>
      </c>
      <c r="N15" s="16">
        <f t="shared" si="2"/>
        <v>2697.93</v>
      </c>
      <c r="O15" s="16">
        <f t="shared" si="0"/>
        <v>0</v>
      </c>
      <c r="P15" s="14">
        <v>130.08000000000001</v>
      </c>
      <c r="Q15" s="17">
        <v>45854</v>
      </c>
      <c r="R15" s="18"/>
      <c r="S15" s="19">
        <f t="shared" si="3"/>
        <v>0</v>
      </c>
    </row>
    <row r="16" spans="1:19" x14ac:dyDescent="0.25">
      <c r="A16" s="12">
        <f>'[1]Cash Variance'!A15</f>
        <v>45851</v>
      </c>
      <c r="B16" s="13">
        <v>1836.38</v>
      </c>
      <c r="C16" s="13">
        <v>8.82</v>
      </c>
      <c r="D16" s="14">
        <v>146.99</v>
      </c>
      <c r="E16" s="14">
        <v>2</v>
      </c>
      <c r="F16" s="15">
        <f t="shared" si="1"/>
        <v>1994.19</v>
      </c>
      <c r="G16" s="14">
        <v>124.07</v>
      </c>
      <c r="H16" s="14">
        <f>1363.85-2.73</f>
        <v>1361.12</v>
      </c>
      <c r="I16" s="14">
        <v>35.049999999999997</v>
      </c>
      <c r="J16" s="14">
        <v>323.41000000000003</v>
      </c>
      <c r="K16" s="14">
        <v>81.91</v>
      </c>
      <c r="L16" s="14">
        <v>68.63</v>
      </c>
      <c r="M16" s="14">
        <v>0</v>
      </c>
      <c r="N16" s="16">
        <f t="shared" si="2"/>
        <v>1994.19</v>
      </c>
      <c r="O16" s="16">
        <f t="shared" si="0"/>
        <v>0</v>
      </c>
      <c r="P16" s="14">
        <v>124.53</v>
      </c>
      <c r="Q16" s="17">
        <v>45854</v>
      </c>
      <c r="R16" s="18"/>
      <c r="S16" s="19">
        <f t="shared" si="3"/>
        <v>0.46000000000000796</v>
      </c>
    </row>
    <row r="17" spans="1:19" x14ac:dyDescent="0.25">
      <c r="A17" s="12">
        <f>'[1]Cash Variance'!A16</f>
        <v>45852</v>
      </c>
      <c r="B17" s="13">
        <v>1868.71</v>
      </c>
      <c r="C17" s="13">
        <v>4.49</v>
      </c>
      <c r="D17" s="14">
        <v>149.63</v>
      </c>
      <c r="E17" s="14">
        <v>4</v>
      </c>
      <c r="F17" s="15">
        <f t="shared" si="1"/>
        <v>2026.83</v>
      </c>
      <c r="G17" s="14">
        <v>325.19</v>
      </c>
      <c r="H17" s="14">
        <f>1351.02-1.98</f>
        <v>1349.04</v>
      </c>
      <c r="I17" s="14">
        <v>81.709999999999994</v>
      </c>
      <c r="J17" s="14">
        <v>108.02</v>
      </c>
      <c r="K17" s="14">
        <v>126.26</v>
      </c>
      <c r="L17" s="14">
        <v>36.61</v>
      </c>
      <c r="M17" s="14">
        <v>0</v>
      </c>
      <c r="N17" s="16">
        <f t="shared" si="2"/>
        <v>2026.83</v>
      </c>
      <c r="O17" s="16">
        <f t="shared" si="0"/>
        <v>0</v>
      </c>
      <c r="P17" s="14">
        <v>325.67</v>
      </c>
      <c r="Q17" s="17">
        <v>45854</v>
      </c>
      <c r="R17" s="18"/>
      <c r="S17" s="19">
        <f t="shared" si="3"/>
        <v>0.48000000000001819</v>
      </c>
    </row>
    <row r="18" spans="1:19" x14ac:dyDescent="0.25">
      <c r="A18" s="12">
        <f>'[1]Cash Variance'!A17</f>
        <v>45853</v>
      </c>
      <c r="B18" s="13">
        <v>1682.33</v>
      </c>
      <c r="C18" s="13">
        <v>18.059999999999999</v>
      </c>
      <c r="D18" s="14">
        <v>134.66999999999999</v>
      </c>
      <c r="E18" s="14">
        <v>8.09</v>
      </c>
      <c r="F18" s="15">
        <f t="shared" si="1"/>
        <v>1843.1499999999999</v>
      </c>
      <c r="G18" s="14">
        <v>437.57</v>
      </c>
      <c r="H18" s="14">
        <f>897.42-6.11</f>
        <v>891.31</v>
      </c>
      <c r="I18" s="14">
        <v>26.96</v>
      </c>
      <c r="J18" s="14">
        <v>375.17</v>
      </c>
      <c r="K18" s="14">
        <v>17.72</v>
      </c>
      <c r="L18" s="14">
        <v>94.42</v>
      </c>
      <c r="M18" s="14">
        <v>0</v>
      </c>
      <c r="N18" s="16">
        <f t="shared" si="2"/>
        <v>1843.15</v>
      </c>
      <c r="O18" s="16">
        <f t="shared" si="0"/>
        <v>0</v>
      </c>
      <c r="P18" s="22">
        <v>437.75</v>
      </c>
      <c r="Q18" s="17">
        <v>45854</v>
      </c>
      <c r="R18" s="18"/>
      <c r="S18" s="19">
        <f t="shared" si="3"/>
        <v>0.18000000000000682</v>
      </c>
    </row>
    <row r="19" spans="1:19" x14ac:dyDescent="0.25">
      <c r="A19" s="12">
        <f>'[1]Cash Variance'!A18</f>
        <v>45854</v>
      </c>
      <c r="B19" s="13">
        <v>1506.15</v>
      </c>
      <c r="C19" s="13">
        <v>0</v>
      </c>
      <c r="D19" s="14">
        <v>120.58</v>
      </c>
      <c r="E19" s="14">
        <v>10</v>
      </c>
      <c r="F19" s="15">
        <f t="shared" si="1"/>
        <v>1636.73</v>
      </c>
      <c r="G19" s="14">
        <v>314.55</v>
      </c>
      <c r="H19" s="14">
        <f>1077.11-4.85</f>
        <v>1072.26</v>
      </c>
      <c r="I19" s="14">
        <v>0</v>
      </c>
      <c r="J19" s="14">
        <v>153.80000000000001</v>
      </c>
      <c r="K19" s="14">
        <v>0</v>
      </c>
      <c r="L19" s="14">
        <v>96.12</v>
      </c>
      <c r="M19" s="14">
        <v>0</v>
      </c>
      <c r="N19" s="16">
        <f t="shared" si="2"/>
        <v>1636.73</v>
      </c>
      <c r="O19" s="16">
        <f t="shared" si="0"/>
        <v>0</v>
      </c>
      <c r="P19" s="23">
        <v>314.55</v>
      </c>
      <c r="Q19" s="24">
        <v>45866</v>
      </c>
      <c r="R19" s="18"/>
      <c r="S19" s="19">
        <f t="shared" si="3"/>
        <v>0</v>
      </c>
    </row>
    <row r="20" spans="1:19" x14ac:dyDescent="0.25">
      <c r="A20" s="12">
        <f>'[1]Cash Variance'!A19</f>
        <v>45855</v>
      </c>
      <c r="B20" s="13">
        <v>2196.2199999999998</v>
      </c>
      <c r="C20" s="14">
        <v>21.78</v>
      </c>
      <c r="D20" s="14">
        <v>175.81</v>
      </c>
      <c r="E20" s="14">
        <v>14.05</v>
      </c>
      <c r="F20" s="15">
        <f t="shared" si="1"/>
        <v>2407.86</v>
      </c>
      <c r="G20" s="14">
        <v>329.1</v>
      </c>
      <c r="H20" s="14">
        <f>1575.35-2.81</f>
        <v>1572.54</v>
      </c>
      <c r="I20" s="14">
        <v>26.43</v>
      </c>
      <c r="J20" s="14">
        <v>465.05</v>
      </c>
      <c r="K20" s="14">
        <v>0</v>
      </c>
      <c r="L20" s="14">
        <v>14.74</v>
      </c>
      <c r="M20" s="14">
        <v>0</v>
      </c>
      <c r="N20" s="16">
        <f t="shared" si="2"/>
        <v>2407.8599999999997</v>
      </c>
      <c r="O20" s="16">
        <f t="shared" si="0"/>
        <v>0</v>
      </c>
      <c r="P20" s="23">
        <v>385.65</v>
      </c>
      <c r="Q20" s="24">
        <v>45866</v>
      </c>
      <c r="R20" s="18"/>
      <c r="S20" s="19">
        <f>P20-G20-R20</f>
        <v>56.549999999999955</v>
      </c>
    </row>
    <row r="21" spans="1:19" x14ac:dyDescent="0.25">
      <c r="A21" s="12">
        <f>'[1]Cash Variance'!A20</f>
        <v>45856</v>
      </c>
      <c r="B21" s="13">
        <v>2289.52</v>
      </c>
      <c r="C21" s="13">
        <v>14.16</v>
      </c>
      <c r="D21" s="14">
        <v>183.26</v>
      </c>
      <c r="E21" s="14">
        <v>9</v>
      </c>
      <c r="F21" s="15">
        <f t="shared" si="1"/>
        <v>2495.9399999999996</v>
      </c>
      <c r="G21" s="14">
        <v>284.27</v>
      </c>
      <c r="H21" s="14">
        <f>1590.06-5.54</f>
        <v>1584.52</v>
      </c>
      <c r="I21" s="14">
        <v>17.25</v>
      </c>
      <c r="J21" s="14">
        <v>516.12</v>
      </c>
      <c r="K21" s="14">
        <v>22.61</v>
      </c>
      <c r="L21" s="14">
        <v>71.17</v>
      </c>
      <c r="M21" s="14">
        <v>0</v>
      </c>
      <c r="N21" s="16">
        <f t="shared" si="2"/>
        <v>2495.94</v>
      </c>
      <c r="O21" s="16">
        <f t="shared" si="0"/>
        <v>0</v>
      </c>
      <c r="P21" s="23">
        <v>284.27</v>
      </c>
      <c r="Q21" s="24">
        <v>45866</v>
      </c>
      <c r="R21" s="18"/>
      <c r="S21" s="19">
        <f t="shared" si="3"/>
        <v>0</v>
      </c>
    </row>
    <row r="22" spans="1:19" x14ac:dyDescent="0.25">
      <c r="A22" s="12">
        <f>'[1]Cash Variance'!A21</f>
        <v>45857</v>
      </c>
      <c r="B22" s="13">
        <v>2508.42</v>
      </c>
      <c r="C22" s="13">
        <v>38.56</v>
      </c>
      <c r="D22" s="14">
        <v>200.83</v>
      </c>
      <c r="E22" s="14">
        <v>20</v>
      </c>
      <c r="F22" s="15">
        <f t="shared" si="1"/>
        <v>2767.81</v>
      </c>
      <c r="G22" s="14">
        <v>464.1</v>
      </c>
      <c r="H22" s="14">
        <f>1781.84-1.09</f>
        <v>1780.75</v>
      </c>
      <c r="I22" s="14">
        <v>53.87</v>
      </c>
      <c r="J22" s="14">
        <v>425.19</v>
      </c>
      <c r="K22" s="14">
        <v>0</v>
      </c>
      <c r="L22" s="14">
        <v>43.9</v>
      </c>
      <c r="M22" s="14">
        <v>0</v>
      </c>
      <c r="N22" s="16">
        <f t="shared" si="2"/>
        <v>2767.81</v>
      </c>
      <c r="O22" s="16">
        <f t="shared" si="0"/>
        <v>0</v>
      </c>
      <c r="P22" s="23">
        <v>464.1</v>
      </c>
      <c r="Q22" s="24">
        <v>45866</v>
      </c>
      <c r="R22" s="18"/>
      <c r="S22" s="19">
        <f t="shared" si="3"/>
        <v>0</v>
      </c>
    </row>
    <row r="23" spans="1:19" x14ac:dyDescent="0.25">
      <c r="A23" s="12">
        <f>'[1]Cash Variance'!A22</f>
        <v>45858</v>
      </c>
      <c r="B23" s="13">
        <v>1564</v>
      </c>
      <c r="C23" s="13">
        <v>12.99</v>
      </c>
      <c r="D23" s="14">
        <v>125.22</v>
      </c>
      <c r="E23" s="14">
        <v>5</v>
      </c>
      <c r="F23" s="15">
        <f t="shared" si="1"/>
        <v>1707.21</v>
      </c>
      <c r="G23" s="14">
        <v>266.58</v>
      </c>
      <c r="H23" s="14">
        <v>959.4</v>
      </c>
      <c r="I23" s="14">
        <v>21.03</v>
      </c>
      <c r="J23" s="14">
        <v>363.03</v>
      </c>
      <c r="K23" s="14">
        <v>45.51</v>
      </c>
      <c r="L23" s="14">
        <v>52.46</v>
      </c>
      <c r="M23" s="14">
        <v>0</v>
      </c>
      <c r="N23" s="16">
        <f t="shared" si="2"/>
        <v>1708.01</v>
      </c>
      <c r="O23" s="16">
        <f t="shared" si="0"/>
        <v>-0.79999999999995453</v>
      </c>
      <c r="P23" s="23">
        <v>266.58</v>
      </c>
      <c r="Q23" s="24">
        <v>45866</v>
      </c>
      <c r="R23" s="18"/>
      <c r="S23" s="19">
        <f t="shared" si="3"/>
        <v>0</v>
      </c>
    </row>
    <row r="24" spans="1:19" x14ac:dyDescent="0.25">
      <c r="A24" s="12">
        <f>'[1]Cash Variance'!A23</f>
        <v>45859</v>
      </c>
      <c r="B24" s="13">
        <v>1854.87</v>
      </c>
      <c r="C24" s="13">
        <v>0</v>
      </c>
      <c r="D24" s="14">
        <v>148.52000000000001</v>
      </c>
      <c r="E24" s="14">
        <v>20.059999999999999</v>
      </c>
      <c r="F24" s="15">
        <f t="shared" si="1"/>
        <v>2023.4499999999998</v>
      </c>
      <c r="G24" s="14">
        <v>314.86</v>
      </c>
      <c r="H24" s="14">
        <v>1350.85</v>
      </c>
      <c r="I24" s="14">
        <v>46.92</v>
      </c>
      <c r="J24" s="14">
        <v>191.69</v>
      </c>
      <c r="K24" s="14">
        <v>17.399999999999999</v>
      </c>
      <c r="L24" s="14">
        <v>101.48</v>
      </c>
      <c r="M24" s="14">
        <v>0</v>
      </c>
      <c r="N24" s="16">
        <f t="shared" si="2"/>
        <v>2023.2000000000003</v>
      </c>
      <c r="O24" s="16">
        <f t="shared" si="0"/>
        <v>0.24999999999954525</v>
      </c>
      <c r="P24" s="23">
        <v>314.95</v>
      </c>
      <c r="Q24" s="24">
        <v>45866</v>
      </c>
      <c r="R24" s="18"/>
      <c r="S24" s="19">
        <f t="shared" si="3"/>
        <v>8.9999999999974989E-2</v>
      </c>
    </row>
    <row r="25" spans="1:19" x14ac:dyDescent="0.25">
      <c r="A25" s="12">
        <f>'[1]Cash Variance'!A24</f>
        <v>45860</v>
      </c>
      <c r="B25" s="13">
        <v>1827.91</v>
      </c>
      <c r="C25" s="13">
        <v>21.33</v>
      </c>
      <c r="D25" s="14">
        <v>146.33000000000001</v>
      </c>
      <c r="E25" s="14">
        <v>4.95</v>
      </c>
      <c r="F25" s="15">
        <f t="shared" si="1"/>
        <v>2000.52</v>
      </c>
      <c r="G25" s="14">
        <v>307.29000000000002</v>
      </c>
      <c r="H25" s="14">
        <v>1344.08</v>
      </c>
      <c r="I25" s="14">
        <v>9.17</v>
      </c>
      <c r="J25" s="14">
        <v>304.16000000000003</v>
      </c>
      <c r="K25" s="14">
        <v>25.16</v>
      </c>
      <c r="L25" s="14">
        <v>0</v>
      </c>
      <c r="M25" s="14">
        <v>11.87</v>
      </c>
      <c r="N25" s="16">
        <f t="shared" si="2"/>
        <v>2001.73</v>
      </c>
      <c r="O25" s="16">
        <f t="shared" si="0"/>
        <v>-1.2100000000000364</v>
      </c>
      <c r="P25" s="23">
        <v>307.3</v>
      </c>
      <c r="Q25" s="24">
        <v>45866</v>
      </c>
      <c r="R25" s="18"/>
      <c r="S25" s="19">
        <f t="shared" si="3"/>
        <v>9.9999999999909051E-3</v>
      </c>
    </row>
    <row r="26" spans="1:19" x14ac:dyDescent="0.25">
      <c r="A26" s="12">
        <f>'[1]Cash Variance'!A25</f>
        <v>45861</v>
      </c>
      <c r="B26" s="13">
        <v>1812.57</v>
      </c>
      <c r="C26" s="13">
        <v>12.99</v>
      </c>
      <c r="D26" s="14">
        <v>145.11000000000001</v>
      </c>
      <c r="E26" s="14">
        <v>0</v>
      </c>
      <c r="F26" s="15">
        <f t="shared" si="1"/>
        <v>1970.67</v>
      </c>
      <c r="G26" s="14">
        <v>310.49</v>
      </c>
      <c r="H26" s="14">
        <f>1241.31-2.69</f>
        <v>1238.6199999999999</v>
      </c>
      <c r="I26" s="14">
        <v>55.02</v>
      </c>
      <c r="J26" s="14">
        <v>345.21</v>
      </c>
      <c r="K26" s="14">
        <v>0</v>
      </c>
      <c r="L26" s="14">
        <v>21.33</v>
      </c>
      <c r="M26" s="14">
        <v>0</v>
      </c>
      <c r="N26" s="16">
        <f t="shared" si="2"/>
        <v>1970.6699999999998</v>
      </c>
      <c r="O26" s="16">
        <f t="shared" si="0"/>
        <v>0</v>
      </c>
      <c r="P26" s="23">
        <v>310.49</v>
      </c>
      <c r="Q26" s="24">
        <v>45866</v>
      </c>
      <c r="R26" s="18"/>
      <c r="S26" s="19">
        <f t="shared" si="3"/>
        <v>0</v>
      </c>
    </row>
    <row r="27" spans="1:19" x14ac:dyDescent="0.25">
      <c r="A27" s="12">
        <f>'[1]Cash Variance'!A26</f>
        <v>45862</v>
      </c>
      <c r="B27" s="13">
        <v>1970.42</v>
      </c>
      <c r="C27" s="14">
        <v>13.21</v>
      </c>
      <c r="D27" s="14">
        <v>157.76</v>
      </c>
      <c r="E27" s="14">
        <v>3</v>
      </c>
      <c r="F27" s="15">
        <f t="shared" si="1"/>
        <v>2144.3900000000003</v>
      </c>
      <c r="G27" s="14">
        <v>267.45</v>
      </c>
      <c r="H27" s="14">
        <v>1582.26</v>
      </c>
      <c r="I27" s="14">
        <v>9.17</v>
      </c>
      <c r="J27" s="14">
        <v>222.12</v>
      </c>
      <c r="K27" s="14">
        <v>45.98</v>
      </c>
      <c r="L27" s="14">
        <v>18.89</v>
      </c>
      <c r="M27" s="14">
        <v>0</v>
      </c>
      <c r="N27" s="16">
        <f t="shared" si="2"/>
        <v>2145.87</v>
      </c>
      <c r="O27" s="16">
        <f t="shared" si="0"/>
        <v>-1.4799999999995634</v>
      </c>
      <c r="P27" s="23">
        <v>267.45</v>
      </c>
      <c r="Q27" s="24">
        <v>45866</v>
      </c>
      <c r="R27" s="18"/>
      <c r="S27" s="19">
        <f t="shared" si="3"/>
        <v>0</v>
      </c>
    </row>
    <row r="28" spans="1:19" x14ac:dyDescent="0.25">
      <c r="A28" s="12">
        <f>'[1]Cash Variance'!A27</f>
        <v>45863</v>
      </c>
      <c r="B28" s="14">
        <v>2624.52</v>
      </c>
      <c r="C28" s="14">
        <v>4.49</v>
      </c>
      <c r="D28" s="14">
        <v>210.17</v>
      </c>
      <c r="E28" s="14">
        <v>27.4</v>
      </c>
      <c r="F28" s="15">
        <f>SUM(B28:E28)</f>
        <v>2866.58</v>
      </c>
      <c r="G28" s="14">
        <v>385.65</v>
      </c>
      <c r="H28" s="14">
        <v>1754.66</v>
      </c>
      <c r="I28" s="14">
        <v>92.23</v>
      </c>
      <c r="J28" s="14">
        <v>465.39</v>
      </c>
      <c r="K28" s="14">
        <v>78.61</v>
      </c>
      <c r="L28" s="14">
        <v>73.72</v>
      </c>
      <c r="M28" s="14">
        <v>17.93</v>
      </c>
      <c r="N28" s="16">
        <f t="shared" si="2"/>
        <v>2868.1899999999996</v>
      </c>
      <c r="O28" s="16">
        <f t="shared" si="0"/>
        <v>-1.6099999999996726</v>
      </c>
      <c r="P28" s="25">
        <v>178.96</v>
      </c>
      <c r="Q28" s="24">
        <v>45866</v>
      </c>
      <c r="R28" s="18"/>
      <c r="S28" s="19">
        <f t="shared" si="3"/>
        <v>-206.68999999999997</v>
      </c>
    </row>
    <row r="29" spans="1:19" x14ac:dyDescent="0.25">
      <c r="A29" s="12">
        <f>'[1]Cash Variance'!A28</f>
        <v>45864</v>
      </c>
      <c r="B29" s="13">
        <v>1754.69</v>
      </c>
      <c r="C29" s="13">
        <v>7.33</v>
      </c>
      <c r="D29" s="14">
        <v>140.47999999999999</v>
      </c>
      <c r="E29" s="14">
        <v>20.8</v>
      </c>
      <c r="F29" s="15">
        <f t="shared" si="1"/>
        <v>1923.3</v>
      </c>
      <c r="G29" s="14">
        <v>178.96</v>
      </c>
      <c r="H29" s="14">
        <f>1317.22-2.62</f>
        <v>1314.6000000000001</v>
      </c>
      <c r="I29" s="14">
        <v>0</v>
      </c>
      <c r="J29" s="14">
        <v>370.97</v>
      </c>
      <c r="K29" s="14">
        <v>12.9</v>
      </c>
      <c r="L29" s="14">
        <v>45.87</v>
      </c>
      <c r="M29" s="14">
        <v>0</v>
      </c>
      <c r="N29" s="16">
        <f t="shared" si="2"/>
        <v>1923.3000000000002</v>
      </c>
      <c r="O29" s="16">
        <f t="shared" si="0"/>
        <v>0</v>
      </c>
      <c r="P29" s="14">
        <v>510</v>
      </c>
      <c r="Q29" s="24">
        <v>45866</v>
      </c>
      <c r="R29" s="18"/>
      <c r="S29" s="19">
        <f t="shared" si="3"/>
        <v>331.03999999999996</v>
      </c>
    </row>
    <row r="30" spans="1:19" x14ac:dyDescent="0.25">
      <c r="A30" s="12">
        <f>'[1]Cash Variance'!A29</f>
        <v>45865</v>
      </c>
      <c r="B30" s="13">
        <v>1576.55</v>
      </c>
      <c r="C30" s="13">
        <v>12.79</v>
      </c>
      <c r="D30" s="14">
        <v>126.22</v>
      </c>
      <c r="E30" s="14">
        <v>10.3</v>
      </c>
      <c r="F30" s="15">
        <f t="shared" si="1"/>
        <v>1725.86</v>
      </c>
      <c r="G30" s="14">
        <v>151.31</v>
      </c>
      <c r="H30" s="14">
        <f>1134.47-3.18</f>
        <v>1131.29</v>
      </c>
      <c r="I30" s="14">
        <v>28.04</v>
      </c>
      <c r="J30" s="14">
        <v>344.85</v>
      </c>
      <c r="K30" s="14">
        <v>36.47</v>
      </c>
      <c r="L30" s="14">
        <v>33.9</v>
      </c>
      <c r="M30" s="14">
        <v>0</v>
      </c>
      <c r="N30" s="16">
        <f t="shared" si="2"/>
        <v>1725.86</v>
      </c>
      <c r="O30" s="16">
        <f t="shared" si="0"/>
        <v>0</v>
      </c>
      <c r="P30" s="14">
        <v>151.31</v>
      </c>
      <c r="Q30" s="24">
        <v>45866</v>
      </c>
      <c r="R30" s="18"/>
      <c r="S30" s="19">
        <f t="shared" si="3"/>
        <v>0</v>
      </c>
    </row>
    <row r="31" spans="1:19" x14ac:dyDescent="0.25">
      <c r="A31" s="12">
        <f>'[1]Cash Variance'!A30</f>
        <v>45866</v>
      </c>
      <c r="B31" s="13">
        <v>1522.61</v>
      </c>
      <c r="C31" s="13">
        <v>4.49</v>
      </c>
      <c r="D31" s="14">
        <v>121.89</v>
      </c>
      <c r="E31" s="14">
        <v>29.28</v>
      </c>
      <c r="F31" s="15">
        <f t="shared" si="1"/>
        <v>1678.27</v>
      </c>
      <c r="G31" s="14">
        <v>234.35</v>
      </c>
      <c r="H31" s="14">
        <v>1203.94</v>
      </c>
      <c r="I31" s="14">
        <v>78.47</v>
      </c>
      <c r="J31" s="14">
        <v>125.52</v>
      </c>
      <c r="K31" s="14">
        <v>10.96</v>
      </c>
      <c r="L31" s="14">
        <v>24.82</v>
      </c>
      <c r="M31" s="14">
        <v>0</v>
      </c>
      <c r="N31" s="16">
        <f t="shared" si="2"/>
        <v>1678.06</v>
      </c>
      <c r="O31" s="16">
        <f t="shared" si="0"/>
        <v>0.21000000000003638</v>
      </c>
      <c r="P31" s="14"/>
      <c r="Q31" s="17"/>
      <c r="R31" s="18"/>
      <c r="S31" s="19">
        <f t="shared" si="3"/>
        <v>-234.35</v>
      </c>
    </row>
    <row r="32" spans="1:19" x14ac:dyDescent="0.25">
      <c r="A32" s="12">
        <f>'[1]Cash Variance'!A31</f>
        <v>45867</v>
      </c>
      <c r="B32" s="13">
        <v>1962.16</v>
      </c>
      <c r="C32" s="13">
        <v>5.48</v>
      </c>
      <c r="D32" s="14">
        <v>157.08000000000001</v>
      </c>
      <c r="E32" s="14">
        <v>24.4</v>
      </c>
      <c r="F32" s="15">
        <f t="shared" si="1"/>
        <v>2149.1200000000003</v>
      </c>
      <c r="G32" s="14">
        <v>294.89</v>
      </c>
      <c r="H32" s="14">
        <v>1556.76</v>
      </c>
      <c r="I32" s="14">
        <v>30.94</v>
      </c>
      <c r="J32" s="14">
        <v>172.6</v>
      </c>
      <c r="K32" s="14">
        <v>20.61</v>
      </c>
      <c r="L32" s="14">
        <v>73.33</v>
      </c>
      <c r="M32" s="14">
        <v>0</v>
      </c>
      <c r="N32" s="16">
        <f t="shared" si="2"/>
        <v>2149.13</v>
      </c>
      <c r="O32" s="16">
        <f t="shared" si="0"/>
        <v>-9.9999999997635314E-3</v>
      </c>
      <c r="P32" s="14"/>
      <c r="Q32" s="17"/>
      <c r="R32" s="18"/>
      <c r="S32" s="19">
        <f t="shared" si="3"/>
        <v>-294.89</v>
      </c>
    </row>
    <row r="33" spans="1:19" x14ac:dyDescent="0.25">
      <c r="A33" s="12">
        <f>'[1]Cash Variance'!A32</f>
        <v>45868</v>
      </c>
      <c r="B33" s="13">
        <v>1329.51</v>
      </c>
      <c r="C33" s="13">
        <v>4.33</v>
      </c>
      <c r="D33" s="14">
        <v>106.47</v>
      </c>
      <c r="E33" s="14">
        <v>3</v>
      </c>
      <c r="F33" s="15">
        <f t="shared" si="1"/>
        <v>1443.31</v>
      </c>
      <c r="G33" s="14">
        <v>226.44</v>
      </c>
      <c r="H33" s="14">
        <v>863.32</v>
      </c>
      <c r="I33" s="14">
        <v>39.21</v>
      </c>
      <c r="J33" s="14">
        <v>274.55</v>
      </c>
      <c r="K33" s="14">
        <v>0</v>
      </c>
      <c r="L33" s="14">
        <v>40.14</v>
      </c>
      <c r="M33" s="14">
        <v>0</v>
      </c>
      <c r="N33" s="16">
        <f t="shared" si="2"/>
        <v>1443.66</v>
      </c>
      <c r="O33" s="16">
        <f t="shared" si="0"/>
        <v>-0.35000000000013642</v>
      </c>
      <c r="P33" s="14"/>
      <c r="Q33" s="17"/>
      <c r="R33" s="18"/>
      <c r="S33" s="19">
        <f t="shared" si="3"/>
        <v>-226.44</v>
      </c>
    </row>
    <row r="34" spans="1:19" ht="15.75" thickBot="1" x14ac:dyDescent="0.3">
      <c r="A34" s="12">
        <f>'[1]Cash Variance'!A33</f>
        <v>45869</v>
      </c>
      <c r="B34" s="13">
        <v>1665.34</v>
      </c>
      <c r="C34" s="13">
        <v>22.66</v>
      </c>
      <c r="D34" s="14">
        <v>133.35</v>
      </c>
      <c r="E34" s="14">
        <v>10.75</v>
      </c>
      <c r="F34" s="15">
        <f t="shared" si="1"/>
        <v>1832.1</v>
      </c>
      <c r="G34" s="14">
        <v>246.15</v>
      </c>
      <c r="H34" s="14">
        <v>1146.05</v>
      </c>
      <c r="I34" s="14">
        <v>7.01</v>
      </c>
      <c r="J34" s="14">
        <v>381.94</v>
      </c>
      <c r="K34" s="14">
        <v>36.340000000000003</v>
      </c>
      <c r="L34" s="14">
        <v>14.85</v>
      </c>
      <c r="M34" s="14">
        <v>0</v>
      </c>
      <c r="N34" s="16">
        <f t="shared" si="2"/>
        <v>1832.34</v>
      </c>
      <c r="O34" s="16">
        <f t="shared" si="0"/>
        <v>-0.24000000000000909</v>
      </c>
      <c r="P34" s="14"/>
      <c r="Q34" s="17"/>
      <c r="R34" s="18"/>
      <c r="S34" s="19">
        <f t="shared" si="3"/>
        <v>-246.15</v>
      </c>
    </row>
    <row r="35" spans="1:19" ht="15.75" thickBot="1" x14ac:dyDescent="0.3">
      <c r="A35" s="26" t="s">
        <v>21</v>
      </c>
      <c r="B35" s="27">
        <f t="shared" ref="B35:M35" si="4">SUM(B4:B34)</f>
        <v>58081.590000000004</v>
      </c>
      <c r="C35" s="27">
        <f t="shared" si="4"/>
        <v>447.39000000000004</v>
      </c>
      <c r="D35" s="27">
        <f>SUM(D4:D34)</f>
        <v>4650.1000000000004</v>
      </c>
      <c r="E35" s="27">
        <f>SUM(E4:E34)</f>
        <v>486.67999999999995</v>
      </c>
      <c r="F35" s="28">
        <f>SUM(F4:F34)</f>
        <v>63665.759999999987</v>
      </c>
      <c r="G35" s="27">
        <f>SUM(G4:G34)</f>
        <v>8717.2300000000014</v>
      </c>
      <c r="H35" s="27">
        <f>SUM(H4:H34)</f>
        <v>41568.650000000009</v>
      </c>
      <c r="I35" s="27">
        <f t="shared" si="4"/>
        <v>996.33999999999992</v>
      </c>
      <c r="J35" s="27">
        <f>SUM(J4:J34)</f>
        <v>9535.23</v>
      </c>
      <c r="K35" s="27">
        <f>SUM(K4:K34)</f>
        <v>1001.6600000000001</v>
      </c>
      <c r="L35" s="27">
        <f>SUM(L4:L34)</f>
        <v>1757.0700000000004</v>
      </c>
      <c r="M35" s="27">
        <f t="shared" si="4"/>
        <v>96.34</v>
      </c>
      <c r="N35" s="28">
        <f>SUM(N4:N34)</f>
        <v>63672.520000000004</v>
      </c>
      <c r="O35" s="28">
        <f t="shared" ref="O35:R35" si="5">SUM(O4:O34)</f>
        <v>-6.760000000000673</v>
      </c>
      <c r="P35" s="27">
        <f>SUM(P4:P34)</f>
        <v>7900.829999999999</v>
      </c>
      <c r="Q35" s="27"/>
      <c r="R35" s="27">
        <f t="shared" si="5"/>
        <v>0</v>
      </c>
      <c r="S35" s="28">
        <f>SUM(S4:S34)</f>
        <v>-816.40000000000009</v>
      </c>
    </row>
    <row r="36" spans="1:19" x14ac:dyDescent="0.25">
      <c r="A36" s="29" t="s">
        <v>1</v>
      </c>
      <c r="B36" s="30">
        <f>+B35</f>
        <v>58081.590000000004</v>
      </c>
      <c r="C36" s="30">
        <f>+C35</f>
        <v>447.39000000000004</v>
      </c>
      <c r="D36" s="30">
        <f>+D35</f>
        <v>4650.1000000000004</v>
      </c>
      <c r="E36" s="30">
        <f>+E35</f>
        <v>486.67999999999995</v>
      </c>
      <c r="F36" s="29"/>
      <c r="G36" s="30">
        <f>+G35</f>
        <v>8717.2300000000014</v>
      </c>
      <c r="H36" s="29"/>
      <c r="I36" s="29"/>
      <c r="J36" s="30">
        <f>+J35</f>
        <v>9535.23</v>
      </c>
      <c r="K36" s="30">
        <f>+K35</f>
        <v>1001.6600000000001</v>
      </c>
      <c r="L36" s="30">
        <f>+L35</f>
        <v>1757.0700000000004</v>
      </c>
      <c r="M36" s="30">
        <f>+M35</f>
        <v>96.34</v>
      </c>
      <c r="N36" s="29"/>
      <c r="O36" s="29"/>
      <c r="P36" s="29"/>
      <c r="Q36" s="31"/>
      <c r="R36" s="29"/>
      <c r="S36" s="29"/>
    </row>
    <row r="37" spans="1:19" x14ac:dyDescent="0.25">
      <c r="A37" s="32" t="s">
        <v>22</v>
      </c>
      <c r="B37" s="33">
        <f>+B35</f>
        <v>58081.590000000004</v>
      </c>
      <c r="C37" s="33">
        <f>+C35</f>
        <v>447.39000000000004</v>
      </c>
      <c r="D37" s="33">
        <f>+D35</f>
        <v>4650.1000000000004</v>
      </c>
      <c r="E37" s="33">
        <f>+E35</f>
        <v>486.67999999999995</v>
      </c>
      <c r="F37" s="32"/>
      <c r="G37" s="33">
        <f>+G35</f>
        <v>8717.2300000000014</v>
      </c>
      <c r="H37" s="32"/>
      <c r="I37" s="32"/>
      <c r="J37" s="33">
        <f>+J35</f>
        <v>9535.23</v>
      </c>
      <c r="K37" s="33">
        <f>+K35</f>
        <v>1001.6600000000001</v>
      </c>
      <c r="L37" s="33">
        <f>+L35</f>
        <v>1757.0700000000004</v>
      </c>
      <c r="M37" s="33">
        <f>+M35</f>
        <v>96.34</v>
      </c>
      <c r="N37" s="32"/>
      <c r="O37" s="32"/>
      <c r="P37" s="32"/>
      <c r="Q37" s="34"/>
      <c r="R37" s="32"/>
      <c r="S37" s="32"/>
    </row>
    <row r="38" spans="1:19" x14ac:dyDescent="0.25">
      <c r="A38" s="32"/>
      <c r="B38" s="32"/>
      <c r="C38" s="32"/>
      <c r="D38" s="32"/>
      <c r="E38" s="32"/>
      <c r="F38" s="32"/>
      <c r="G38" s="32"/>
      <c r="H38" s="35" t="s">
        <v>23</v>
      </c>
      <c r="I38" s="35"/>
      <c r="J38" s="36">
        <v>11468.81</v>
      </c>
      <c r="K38" s="37">
        <f>1051.84</f>
        <v>1051.8399999999999</v>
      </c>
      <c r="L38" s="37">
        <f>2015.46+124.4</f>
        <v>2139.86</v>
      </c>
      <c r="M38" s="32"/>
      <c r="N38" s="32"/>
      <c r="O38" s="32"/>
      <c r="P38" s="32"/>
      <c r="Q38" s="32"/>
      <c r="R38" s="32"/>
      <c r="S38" s="32"/>
    </row>
    <row r="39" spans="1:19" x14ac:dyDescent="0.25">
      <c r="A39" s="32"/>
      <c r="B39" s="32"/>
      <c r="C39" s="32"/>
      <c r="D39" s="32"/>
      <c r="E39" s="32"/>
      <c r="F39" s="32"/>
      <c r="G39" s="32"/>
      <c r="H39" s="35" t="s">
        <v>24</v>
      </c>
      <c r="I39" s="35"/>
      <c r="J39" s="38">
        <f>+J38-J35</f>
        <v>1933.58</v>
      </c>
      <c r="K39" s="39">
        <f>+K38-K35</f>
        <v>50.179999999999836</v>
      </c>
      <c r="L39" s="39">
        <f>+L38-L35</f>
        <v>382.78999999999974</v>
      </c>
      <c r="M39" s="32"/>
      <c r="N39" s="32"/>
      <c r="O39" s="32"/>
      <c r="P39" s="32"/>
      <c r="Q39" s="32"/>
      <c r="R39" s="32"/>
      <c r="S39" s="32"/>
    </row>
    <row r="40" spans="1:19" x14ac:dyDescent="0.25">
      <c r="A40" s="32"/>
      <c r="B40" s="32"/>
      <c r="C40" s="32"/>
      <c r="D40" s="32"/>
      <c r="E40" s="32"/>
      <c r="F40" s="32"/>
      <c r="G40" s="32"/>
      <c r="H40" s="35" t="s">
        <v>25</v>
      </c>
      <c r="I40" s="35"/>
      <c r="J40" s="36">
        <v>-1848.23</v>
      </c>
      <c r="K40" s="37">
        <v>-97.94</v>
      </c>
      <c r="L40" s="37">
        <f>-345.59+107.08</f>
        <v>-238.51</v>
      </c>
      <c r="M40" s="32"/>
      <c r="N40" s="32"/>
      <c r="O40" s="32"/>
      <c r="P40" s="32"/>
      <c r="Q40" s="32"/>
      <c r="R40" s="32"/>
      <c r="S40" s="32"/>
    </row>
    <row r="41" spans="1:19" x14ac:dyDescent="0.25">
      <c r="A41" s="32"/>
      <c r="B41" s="32"/>
      <c r="C41" s="32"/>
      <c r="D41" s="32"/>
      <c r="E41" s="32"/>
      <c r="F41" s="32"/>
      <c r="G41" s="32"/>
      <c r="H41" s="35" t="s">
        <v>26</v>
      </c>
      <c r="I41" s="35"/>
      <c r="J41" s="36">
        <v>-2060.48</v>
      </c>
      <c r="K41" s="37">
        <f>-88.25-50.18</f>
        <v>-138.43</v>
      </c>
      <c r="L41" s="37">
        <v>-381.91</v>
      </c>
      <c r="M41" s="32"/>
      <c r="N41" s="32"/>
      <c r="O41" s="32"/>
      <c r="P41" s="32"/>
      <c r="Q41" s="32"/>
      <c r="R41" s="32"/>
      <c r="S41" s="32"/>
    </row>
    <row r="42" spans="1:19" x14ac:dyDescent="0.25">
      <c r="A42" s="32"/>
      <c r="B42" s="32"/>
      <c r="C42" s="32"/>
      <c r="D42" s="32"/>
      <c r="E42" s="32"/>
      <c r="F42" s="32"/>
      <c r="G42" s="32"/>
      <c r="H42" s="35" t="s">
        <v>27</v>
      </c>
      <c r="I42" s="35"/>
      <c r="J42" s="36">
        <v>-59.97</v>
      </c>
      <c r="K42" s="37">
        <v>-6.44</v>
      </c>
      <c r="L42" s="37">
        <v>10.97</v>
      </c>
      <c r="M42" s="32"/>
      <c r="N42" s="32"/>
      <c r="O42" s="32"/>
      <c r="P42" s="32"/>
      <c r="Q42" s="32"/>
      <c r="R42" s="32"/>
      <c r="S42" s="32"/>
    </row>
    <row r="43" spans="1:19" ht="15.75" thickBot="1" x14ac:dyDescent="0.3">
      <c r="A43" s="32"/>
      <c r="B43" s="32"/>
      <c r="C43" s="32"/>
      <c r="D43" s="32"/>
      <c r="E43" s="32"/>
      <c r="F43" s="32"/>
      <c r="G43" s="32"/>
      <c r="H43" s="40" t="s">
        <v>28</v>
      </c>
      <c r="I43" s="40"/>
      <c r="J43" s="41">
        <f>+J38+J40+J41+J42</f>
        <v>7500.13</v>
      </c>
      <c r="K43" s="42">
        <f>+K38+K40+K41+K42</f>
        <v>809.02999999999975</v>
      </c>
      <c r="L43" s="42">
        <f>+L38+L40+L41+L42</f>
        <v>1530.41</v>
      </c>
      <c r="M43" s="32"/>
      <c r="N43" s="32"/>
      <c r="O43" s="32"/>
      <c r="P43" s="32"/>
      <c r="Q43" s="32"/>
      <c r="R43" s="32"/>
      <c r="S43" s="32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2025-08-20T12:56:39Z</dcterms:created>
  <dcterms:modified xsi:type="dcterms:W3CDTF">2025-08-20T12:58:06Z</dcterms:modified>
</cp:coreProperties>
</file>