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A9EE4917-5CA2-48B9-92A5-BE4A138E4EEA}" xr6:coauthVersionLast="47" xr6:coauthVersionMax="47" xr10:uidLastSave="{00000000-0000-0000-0000-000000000000}"/>
  <bookViews>
    <workbookView xWindow="-120" yWindow="-120" windowWidth="20730" windowHeight="11040" xr2:uid="{155225E5-A6DA-4F26-BA7F-AED0DAFD665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/>
  <c r="N35" i="1"/>
  <c r="L37" i="1"/>
  <c r="K37" i="1"/>
  <c r="J37" i="1"/>
  <c r="H35" i="1"/>
  <c r="G37" i="1"/>
  <c r="F35" i="1"/>
  <c r="D37" i="1"/>
  <c r="A4" i="1"/>
  <c r="J43" i="1"/>
  <c r="K41" i="1"/>
  <c r="L40" i="1"/>
  <c r="K39" i="1"/>
  <c r="J39" i="1"/>
  <c r="L38" i="1"/>
  <c r="L43" i="1" s="1"/>
  <c r="K38" i="1"/>
  <c r="K43" i="1" s="1"/>
  <c r="E37" i="1"/>
  <c r="J36" i="1"/>
  <c r="D36" i="1"/>
  <c r="B36" i="1"/>
  <c r="R35" i="1"/>
  <c r="M35" i="1"/>
  <c r="M37" i="1" s="1"/>
  <c r="L35" i="1"/>
  <c r="L36" i="1" s="1"/>
  <c r="K35" i="1"/>
  <c r="J35" i="1"/>
  <c r="I35" i="1"/>
  <c r="G35" i="1"/>
  <c r="G36" i="1" s="1"/>
  <c r="E35" i="1"/>
  <c r="E36" i="1" s="1"/>
  <c r="D35" i="1"/>
  <c r="C35" i="1"/>
  <c r="C37" i="1" s="1"/>
  <c r="B35" i="1"/>
  <c r="B37" i="1" s="1"/>
  <c r="S34" i="1"/>
  <c r="N34" i="1"/>
  <c r="O34" i="1" s="1"/>
  <c r="H34" i="1"/>
  <c r="F34" i="1"/>
  <c r="A34" i="1"/>
  <c r="S33" i="1"/>
  <c r="N33" i="1"/>
  <c r="F33" i="1"/>
  <c r="O33" i="1" s="1"/>
  <c r="A33" i="1"/>
  <c r="S32" i="1"/>
  <c r="N32" i="1"/>
  <c r="F32" i="1"/>
  <c r="O32" i="1" s="1"/>
  <c r="A32" i="1"/>
  <c r="S31" i="1"/>
  <c r="N31" i="1"/>
  <c r="O31" i="1" s="1"/>
  <c r="F31" i="1"/>
  <c r="A31" i="1"/>
  <c r="S30" i="1"/>
  <c r="H30" i="1"/>
  <c r="N30" i="1" s="1"/>
  <c r="F30" i="1"/>
  <c r="O30" i="1" s="1"/>
  <c r="A30" i="1"/>
  <c r="S29" i="1"/>
  <c r="H29" i="1"/>
  <c r="N29" i="1" s="1"/>
  <c r="O29" i="1" s="1"/>
  <c r="F29" i="1"/>
  <c r="A29" i="1"/>
  <c r="S28" i="1"/>
  <c r="H28" i="1"/>
  <c r="N28" i="1" s="1"/>
  <c r="O28" i="1" s="1"/>
  <c r="F28" i="1"/>
  <c r="A28" i="1"/>
  <c r="S27" i="1"/>
  <c r="H27" i="1"/>
  <c r="N27" i="1" s="1"/>
  <c r="O27" i="1" s="1"/>
  <c r="F27" i="1"/>
  <c r="A27" i="1"/>
  <c r="S26" i="1"/>
  <c r="H26" i="1"/>
  <c r="N26" i="1" s="1"/>
  <c r="O26" i="1" s="1"/>
  <c r="F26" i="1"/>
  <c r="A26" i="1"/>
  <c r="S25" i="1"/>
  <c r="H25" i="1"/>
  <c r="N25" i="1" s="1"/>
  <c r="O25" i="1" s="1"/>
  <c r="F25" i="1"/>
  <c r="A25" i="1"/>
  <c r="S24" i="1"/>
  <c r="O24" i="1"/>
  <c r="N24" i="1"/>
  <c r="F24" i="1"/>
  <c r="A24" i="1"/>
  <c r="S23" i="1"/>
  <c r="N23" i="1"/>
  <c r="F23" i="1"/>
  <c r="O23" i="1" s="1"/>
  <c r="A23" i="1"/>
  <c r="S22" i="1"/>
  <c r="N22" i="1"/>
  <c r="F22" i="1"/>
  <c r="O22" i="1" s="1"/>
  <c r="A22" i="1"/>
  <c r="S21" i="1"/>
  <c r="N21" i="1"/>
  <c r="H21" i="1"/>
  <c r="F21" i="1"/>
  <c r="O21" i="1" s="1"/>
  <c r="A21" i="1"/>
  <c r="S20" i="1"/>
  <c r="H20" i="1"/>
  <c r="N20" i="1" s="1"/>
  <c r="F20" i="1"/>
  <c r="O20" i="1" s="1"/>
  <c r="A20" i="1"/>
  <c r="S19" i="1"/>
  <c r="N19" i="1"/>
  <c r="H19" i="1"/>
  <c r="F19" i="1"/>
  <c r="O19" i="1" s="1"/>
  <c r="A19" i="1"/>
  <c r="S18" i="1"/>
  <c r="N18" i="1"/>
  <c r="F18" i="1"/>
  <c r="O18" i="1" s="1"/>
  <c r="A18" i="1"/>
  <c r="S17" i="1"/>
  <c r="H17" i="1"/>
  <c r="N17" i="1" s="1"/>
  <c r="O17" i="1" s="1"/>
  <c r="F17" i="1"/>
  <c r="A17" i="1"/>
  <c r="S16" i="1"/>
  <c r="O16" i="1"/>
  <c r="N16" i="1"/>
  <c r="F16" i="1"/>
  <c r="A16" i="1"/>
  <c r="S15" i="1"/>
  <c r="N15" i="1"/>
  <c r="H15" i="1"/>
  <c r="F15" i="1"/>
  <c r="O15" i="1" s="1"/>
  <c r="A15" i="1"/>
  <c r="S14" i="1"/>
  <c r="N14" i="1"/>
  <c r="H14" i="1"/>
  <c r="F14" i="1"/>
  <c r="O14" i="1" s="1"/>
  <c r="A14" i="1"/>
  <c r="S13" i="1"/>
  <c r="H13" i="1"/>
  <c r="N13" i="1" s="1"/>
  <c r="F13" i="1"/>
  <c r="O13" i="1" s="1"/>
  <c r="A13" i="1"/>
  <c r="S12" i="1"/>
  <c r="N12" i="1"/>
  <c r="F12" i="1"/>
  <c r="O12" i="1" s="1"/>
  <c r="A12" i="1"/>
  <c r="S11" i="1"/>
  <c r="O11" i="1"/>
  <c r="N11" i="1"/>
  <c r="F11" i="1"/>
  <c r="A11" i="1"/>
  <c r="S10" i="1"/>
  <c r="H10" i="1"/>
  <c r="N10" i="1" s="1"/>
  <c r="F10" i="1"/>
  <c r="O10" i="1" s="1"/>
  <c r="A10" i="1"/>
  <c r="S9" i="1"/>
  <c r="N9" i="1"/>
  <c r="H9" i="1"/>
  <c r="F9" i="1"/>
  <c r="O9" i="1" s="1"/>
  <c r="A9" i="1"/>
  <c r="S8" i="1"/>
  <c r="N8" i="1"/>
  <c r="H8" i="1"/>
  <c r="F8" i="1"/>
  <c r="O8" i="1" s="1"/>
  <c r="A8" i="1"/>
  <c r="S7" i="1"/>
  <c r="N7" i="1"/>
  <c r="H7" i="1"/>
  <c r="F7" i="1"/>
  <c r="O7" i="1" s="1"/>
  <c r="A7" i="1"/>
  <c r="S6" i="1"/>
  <c r="H6" i="1"/>
  <c r="N6" i="1" s="1"/>
  <c r="F6" i="1"/>
  <c r="O6" i="1" s="1"/>
  <c r="A6" i="1"/>
  <c r="S5" i="1"/>
  <c r="N5" i="1"/>
  <c r="H5" i="1"/>
  <c r="F5" i="1"/>
  <c r="O5" i="1" s="1"/>
  <c r="A5" i="1"/>
  <c r="S4" i="1"/>
  <c r="S35" i="1" s="1"/>
  <c r="N4" i="1"/>
  <c r="H4" i="1"/>
  <c r="F4" i="1"/>
  <c r="A3" i="1"/>
  <c r="K36" i="1" l="1"/>
  <c r="L39" i="1"/>
  <c r="M36" i="1"/>
  <c r="C36" i="1"/>
  <c r="O4" i="1"/>
  <c r="O35" i="1" s="1"/>
</calcChain>
</file>

<file path=xl/sharedStrings.xml><?xml version="1.0" encoding="utf-8"?>
<sst xmlns="http://schemas.openxmlformats.org/spreadsheetml/2006/main" count="30" uniqueCount="29">
  <si>
    <t>MANILUS ST SY LC LLC</t>
  </si>
  <si>
    <t>LCE GATEWATE</t>
  </si>
  <si>
    <t>BANK STATEMENT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</si>
  <si>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</si>
  <si>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</si>
  <si>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</si>
  <si>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</si>
  <si>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</si>
  <si>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</si>
  <si>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</si>
  <si>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</si>
  <si>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</si>
  <si>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</si>
  <si>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</si>
  <si>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</si>
  <si>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</si>
  <si>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</si>
  <si>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</si>
  <si>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</si>
  <si>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</si>
  <si>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</si>
  <si>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</si>
  <si>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</si>
  <si>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</si>
  <si>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</si>
  <si>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</si>
  <si>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</si>
  <si>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DepositedCashNBTBank</t>
  </si>
  <si>
    <t>ActualCashPlusMinus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</si>
</sst>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7" fontId="2" fillId="2" borderId="6" xfId="0" applyNumberFormat="1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1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5" fontId="6" fillId="0" borderId="12" xfId="0" applyNumberFormat="1" applyFont="1" applyBorder="1" applyAlignment="1">
      <alignment horizontal="right"/>
    </xf>
    <xf numFmtId="164" fontId="6" fillId="3" borderId="12" xfId="0" applyNumberFormat="1" applyFont="1" applyFill="1" applyBorder="1" applyAlignment="1">
      <alignment horizontal="right"/>
    </xf>
    <xf numFmtId="165" fontId="5" fillId="0" borderId="12" xfId="0" applyNumberFormat="1" applyFont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14" fontId="5" fillId="0" borderId="13" xfId="0" applyNumberFormat="1" applyFont="1" applyBorder="1" applyAlignment="1">
      <alignment horizontal="right"/>
    </xf>
    <xf numFmtId="165" fontId="7" fillId="3" borderId="13" xfId="0" applyNumberFormat="1" applyFont="1" applyFill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14" fontId="6" fillId="0" borderId="13" xfId="0" applyNumberFormat="1" applyFont="1" applyBorder="1" applyAlignment="1">
      <alignment horizontal="right"/>
    </xf>
    <xf numFmtId="165" fontId="6" fillId="5" borderId="12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/>
    </xf>
    <xf numFmtId="165" fontId="7" fillId="2" borderId="16" xfId="0" applyNumberFormat="1" applyFont="1" applyFill="1" applyBorder="1" applyAlignment="1">
      <alignment horizontal="right"/>
    </xf>
    <xf numFmtId="165" fontId="7" fillId="3" borderId="16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5" fontId="0" fillId="6" borderId="18" xfId="0" applyNumberFormat="1" applyFill="1" applyBorder="1" applyAlignment="1">
      <alignment horizontal="center"/>
    </xf>
    <xf numFmtId="165" fontId="0" fillId="6" borderId="19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6193-12C6-4C83-AECC-0C31F09C9C98}">
  <dimension ref="A1:S44"/>
  <sheetViews>
    <sheetView tabSelected="1" workbookViewId="0">
      <selection activeCell="S3" sqref="S3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9.85546875" bestFit="1" customWidth="1"/>
    <col min="6" max="6" width="10.85546875" bestFit="1" customWidth="1"/>
    <col min="7" max="7" width="9.85546875" bestFit="1" customWidth="1"/>
    <col min="8" max="8" width="10.85546875" bestFit="1" customWidth="1"/>
    <col min="10" max="10" width="10.85546875" bestFit="1" customWidth="1"/>
    <col min="11" max="12" width="9.85546875" bestFit="1" customWidth="1"/>
    <col min="14" max="14" width="10.85546875" bestFit="1" customWidth="1"/>
    <col min="16" max="16" width="9.85546875" bestFit="1" customWidth="1"/>
    <col min="17" max="17" width="10.42578125" bestFit="1" customWidth="1"/>
  </cols>
  <sheetData>
    <row r="1" spans="1:19" ht="24" thickBot="1" x14ac:dyDescent="0.4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19.5" thickBot="1" x14ac:dyDescent="0.3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0" t="s">
        <v>2</v>
      </c>
      <c r="Q2" s="38"/>
      <c r="R2" s="38"/>
      <c r="S2" s="38"/>
    </row>
    <row r="3" spans="1:19" ht="48" thickBot="1" x14ac:dyDescent="0.3">
      <c r="A3" s="1">
        <f>'[1]Cash Variance'!A2</f>
        <v>45839</v>
      </c>
      <c r="B3" s="2" t="s">
        <v>18</v>
      </c>
      <c r="C3" s="2" t="s">
        <v>19</v>
      </c>
      <c r="D3" s="3" t="s">
        <v>20</v>
      </c>
      <c r="E3" s="3" t="s">
        <v>21</v>
      </c>
      <c r="F3" s="4" t="s">
        <v>22</v>
      </c>
      <c r="G3" s="3" t="s">
        <v>23</v>
      </c>
      <c r="H3" s="3" t="s">
        <v>24</v>
      </c>
      <c r="I3" s="3" t="s">
        <v>3</v>
      </c>
      <c r="J3" s="5" t="s">
        <v>4</v>
      </c>
      <c r="K3" s="5" t="s">
        <v>5</v>
      </c>
      <c r="L3" s="5" t="s">
        <v>25</v>
      </c>
      <c r="M3" s="3" t="s">
        <v>26</v>
      </c>
      <c r="N3" s="6" t="s">
        <v>6</v>
      </c>
      <c r="O3" s="6" t="s">
        <v>7</v>
      </c>
      <c r="P3" s="3" t="s">
        <v>27</v>
      </c>
      <c r="Q3" s="3" t="s">
        <v>8</v>
      </c>
      <c r="R3" s="3" t="s">
        <v>9</v>
      </c>
      <c r="S3" s="6" t="s">
        <v>28</v>
      </c>
    </row>
    <row r="4" spans="1:19" x14ac:dyDescent="0.25">
      <c r="A4" s="7">
        <f>'[1]Cash Variance'!A3</f>
        <v>45839</v>
      </c>
      <c r="B4" s="8">
        <v>2202.2800000000002</v>
      </c>
      <c r="C4" s="9">
        <v>0</v>
      </c>
      <c r="D4" s="9">
        <v>176.33</v>
      </c>
      <c r="E4" s="9">
        <v>19.54</v>
      </c>
      <c r="F4" s="10">
        <f>SUM(B4:E4)</f>
        <v>2398.15</v>
      </c>
      <c r="G4" s="11">
        <v>454.77</v>
      </c>
      <c r="H4" s="9">
        <f>1346.33-4.95</f>
        <v>1341.3799999999999</v>
      </c>
      <c r="I4" s="9">
        <v>20.51</v>
      </c>
      <c r="J4" s="9">
        <v>369.12</v>
      </c>
      <c r="K4" s="9">
        <v>56.88</v>
      </c>
      <c r="L4" s="9">
        <v>145.49</v>
      </c>
      <c r="M4" s="9">
        <v>10</v>
      </c>
      <c r="N4" s="12">
        <f t="shared" ref="N4:N34" si="0">SUM(G4:M4)</f>
        <v>2398.1499999999996</v>
      </c>
      <c r="O4" s="13">
        <f t="shared" ref="O4:O34" si="1">+F4-N4</f>
        <v>0</v>
      </c>
      <c r="P4" s="9"/>
      <c r="Q4" s="14"/>
      <c r="R4" s="15"/>
      <c r="S4" s="16">
        <f t="shared" ref="S4:S34" si="2">P4-G4-R4</f>
        <v>-454.77</v>
      </c>
    </row>
    <row r="5" spans="1:19" x14ac:dyDescent="0.25">
      <c r="A5" s="7">
        <f>'[1]Cash Variance'!A4</f>
        <v>45840</v>
      </c>
      <c r="B5" s="8">
        <v>2058.41</v>
      </c>
      <c r="C5" s="9">
        <v>3.38</v>
      </c>
      <c r="D5" s="9">
        <v>164.81</v>
      </c>
      <c r="E5" s="9">
        <v>0.98</v>
      </c>
      <c r="F5" s="10">
        <f t="shared" ref="F5:F34" si="3">SUM(B5:E5)</f>
        <v>2227.58</v>
      </c>
      <c r="G5" s="9">
        <v>382.79</v>
      </c>
      <c r="H5" s="9">
        <f>1350.5-5.21</f>
        <v>1345.29</v>
      </c>
      <c r="I5" s="9">
        <v>26.43</v>
      </c>
      <c r="J5" s="9">
        <v>375.55</v>
      </c>
      <c r="K5" s="9">
        <v>19.34</v>
      </c>
      <c r="L5" s="9">
        <v>78.180000000000007</v>
      </c>
      <c r="M5" s="9">
        <v>0</v>
      </c>
      <c r="N5" s="12">
        <f t="shared" si="0"/>
        <v>2227.58</v>
      </c>
      <c r="O5" s="13">
        <f t="shared" si="1"/>
        <v>0</v>
      </c>
      <c r="P5" s="9">
        <v>381.72</v>
      </c>
      <c r="Q5" s="14">
        <v>45845</v>
      </c>
      <c r="R5" s="15"/>
      <c r="S5" s="16">
        <f t="shared" si="2"/>
        <v>-1.0699999999999932</v>
      </c>
    </row>
    <row r="6" spans="1:19" x14ac:dyDescent="0.25">
      <c r="A6" s="7">
        <f>'[1]Cash Variance'!A5</f>
        <v>45841</v>
      </c>
      <c r="B6" s="8">
        <v>1991.53</v>
      </c>
      <c r="C6" s="9">
        <v>13.31</v>
      </c>
      <c r="D6" s="9">
        <v>159.47</v>
      </c>
      <c r="E6" s="9">
        <v>12.68</v>
      </c>
      <c r="F6" s="10">
        <f t="shared" si="3"/>
        <v>2176.9899999999998</v>
      </c>
      <c r="G6" s="9">
        <v>338.5</v>
      </c>
      <c r="H6" s="9">
        <f>1364.28-4.34</f>
        <v>1359.94</v>
      </c>
      <c r="I6" s="9">
        <v>0</v>
      </c>
      <c r="J6" s="9">
        <v>353.66</v>
      </c>
      <c r="K6" s="9">
        <v>36.75</v>
      </c>
      <c r="L6" s="9">
        <v>88.14</v>
      </c>
      <c r="M6" s="9">
        <v>0</v>
      </c>
      <c r="N6" s="12">
        <f t="shared" si="0"/>
        <v>2176.9899999999998</v>
      </c>
      <c r="O6" s="13">
        <f t="shared" si="1"/>
        <v>0</v>
      </c>
      <c r="P6" s="9">
        <v>338</v>
      </c>
      <c r="Q6" s="14">
        <v>45845</v>
      </c>
      <c r="R6" s="15"/>
      <c r="S6" s="16">
        <f t="shared" si="2"/>
        <v>-0.5</v>
      </c>
    </row>
    <row r="7" spans="1:19" x14ac:dyDescent="0.25">
      <c r="A7" s="7">
        <f>'[1]Cash Variance'!A6</f>
        <v>45842</v>
      </c>
      <c r="B7" s="8">
        <v>1782.88</v>
      </c>
      <c r="C7" s="9">
        <v>13.15</v>
      </c>
      <c r="D7" s="9">
        <v>142.69999999999999</v>
      </c>
      <c r="E7" s="9">
        <v>18.5</v>
      </c>
      <c r="F7" s="10">
        <f t="shared" si="3"/>
        <v>1957.2300000000002</v>
      </c>
      <c r="G7" s="9">
        <v>331.08</v>
      </c>
      <c r="H7" s="9">
        <f>1004.36-8.05</f>
        <v>996.31000000000006</v>
      </c>
      <c r="I7" s="9">
        <v>0</v>
      </c>
      <c r="J7" s="9">
        <v>445.74</v>
      </c>
      <c r="K7" s="9">
        <v>16.14</v>
      </c>
      <c r="L7" s="9">
        <v>167.96</v>
      </c>
      <c r="M7" s="9">
        <v>0</v>
      </c>
      <c r="N7" s="12">
        <f t="shared" si="0"/>
        <v>1957.2300000000002</v>
      </c>
      <c r="O7" s="13">
        <f t="shared" si="1"/>
        <v>0</v>
      </c>
      <c r="P7" s="9">
        <v>331</v>
      </c>
      <c r="Q7" s="14">
        <v>45845</v>
      </c>
      <c r="R7" s="15"/>
      <c r="S7" s="16">
        <f t="shared" si="2"/>
        <v>-7.9999999999984084E-2</v>
      </c>
    </row>
    <row r="8" spans="1:19" x14ac:dyDescent="0.25">
      <c r="A8" s="7">
        <f>'[1]Cash Variance'!A7</f>
        <v>45843</v>
      </c>
      <c r="B8" s="8">
        <v>1430.46</v>
      </c>
      <c r="C8" s="9">
        <v>8.68</v>
      </c>
      <c r="D8" s="9">
        <v>114.51</v>
      </c>
      <c r="E8" s="9">
        <v>20.68</v>
      </c>
      <c r="F8" s="10">
        <f t="shared" si="3"/>
        <v>1574.3300000000002</v>
      </c>
      <c r="G8" s="9">
        <v>205.75</v>
      </c>
      <c r="H8" s="9">
        <f>907.97-12.05</f>
        <v>895.92000000000007</v>
      </c>
      <c r="I8" s="9">
        <v>0</v>
      </c>
      <c r="J8" s="9">
        <v>288.60000000000002</v>
      </c>
      <c r="K8" s="9">
        <v>0</v>
      </c>
      <c r="L8" s="9">
        <v>184.06</v>
      </c>
      <c r="M8" s="9">
        <v>0</v>
      </c>
      <c r="N8" s="12">
        <f t="shared" si="0"/>
        <v>1574.33</v>
      </c>
      <c r="O8" s="13">
        <f t="shared" si="1"/>
        <v>0</v>
      </c>
      <c r="P8" s="9">
        <v>201.25</v>
      </c>
      <c r="Q8" s="14">
        <v>45845</v>
      </c>
      <c r="R8" s="15"/>
      <c r="S8" s="16">
        <f t="shared" si="2"/>
        <v>-4.5</v>
      </c>
    </row>
    <row r="9" spans="1:19" x14ac:dyDescent="0.25">
      <c r="A9" s="7">
        <f>'[1]Cash Variance'!A8</f>
        <v>45844</v>
      </c>
      <c r="B9" s="8">
        <v>1935.88</v>
      </c>
      <c r="C9" s="9">
        <v>8.98</v>
      </c>
      <c r="D9" s="9">
        <v>155.01</v>
      </c>
      <c r="E9" s="9">
        <v>11</v>
      </c>
      <c r="F9" s="10">
        <f t="shared" si="3"/>
        <v>2110.87</v>
      </c>
      <c r="G9" s="9">
        <v>308.39999999999998</v>
      </c>
      <c r="H9" s="9">
        <f>1469.48-3.61</f>
        <v>1465.8700000000001</v>
      </c>
      <c r="I9" s="9">
        <v>26.85</v>
      </c>
      <c r="J9" s="9">
        <v>231.77</v>
      </c>
      <c r="K9" s="9">
        <v>50.73</v>
      </c>
      <c r="L9" s="9">
        <v>27.25</v>
      </c>
      <c r="M9" s="9">
        <v>0</v>
      </c>
      <c r="N9" s="12">
        <f t="shared" si="0"/>
        <v>2110.87</v>
      </c>
      <c r="O9" s="13">
        <f t="shared" si="1"/>
        <v>0</v>
      </c>
      <c r="P9" s="9">
        <v>301.5</v>
      </c>
      <c r="Q9" s="14">
        <v>45848</v>
      </c>
      <c r="R9" s="15"/>
      <c r="S9" s="16">
        <f t="shared" si="2"/>
        <v>-6.8999999999999773</v>
      </c>
    </row>
    <row r="10" spans="1:19" x14ac:dyDescent="0.25">
      <c r="A10" s="7">
        <f>'[1]Cash Variance'!A9</f>
        <v>45845</v>
      </c>
      <c r="B10" s="8">
        <v>1600.48</v>
      </c>
      <c r="C10" s="9">
        <v>17.8</v>
      </c>
      <c r="D10" s="9">
        <v>128.15</v>
      </c>
      <c r="E10" s="9">
        <v>22.87</v>
      </c>
      <c r="F10" s="10">
        <f t="shared" si="3"/>
        <v>1769.3</v>
      </c>
      <c r="G10" s="9">
        <v>265.10000000000002</v>
      </c>
      <c r="H10" s="9">
        <f>1076.76-3.79</f>
        <v>1072.97</v>
      </c>
      <c r="I10" s="9">
        <v>30.41</v>
      </c>
      <c r="J10" s="9">
        <v>255.7</v>
      </c>
      <c r="K10" s="9">
        <v>26.42</v>
      </c>
      <c r="L10" s="9">
        <v>118.7</v>
      </c>
      <c r="M10" s="9">
        <v>0</v>
      </c>
      <c r="N10" s="12">
        <f t="shared" si="0"/>
        <v>1769.3000000000004</v>
      </c>
      <c r="O10" s="13">
        <f t="shared" si="1"/>
        <v>0</v>
      </c>
      <c r="P10" s="9">
        <v>263.5</v>
      </c>
      <c r="Q10" s="14">
        <v>45848</v>
      </c>
      <c r="R10" s="15"/>
      <c r="S10" s="16">
        <f t="shared" si="2"/>
        <v>-1.6000000000000227</v>
      </c>
    </row>
    <row r="11" spans="1:19" x14ac:dyDescent="0.25">
      <c r="A11" s="7">
        <f>'[1]Cash Variance'!A10</f>
        <v>45846</v>
      </c>
      <c r="B11" s="8">
        <v>1978.06</v>
      </c>
      <c r="C11" s="9">
        <v>8.98</v>
      </c>
      <c r="D11" s="17">
        <v>158.33000000000001</v>
      </c>
      <c r="E11" s="9">
        <v>14.94</v>
      </c>
      <c r="F11" s="10">
        <f t="shared" si="3"/>
        <v>2160.31</v>
      </c>
      <c r="G11" s="9">
        <v>532.02</v>
      </c>
      <c r="H11" s="9">
        <v>1228.17</v>
      </c>
      <c r="I11" s="9">
        <v>29.91</v>
      </c>
      <c r="J11" s="9">
        <v>296.79000000000002</v>
      </c>
      <c r="K11" s="9">
        <v>22.17</v>
      </c>
      <c r="L11" s="9">
        <v>51.01</v>
      </c>
      <c r="M11" s="9">
        <v>0</v>
      </c>
      <c r="N11" s="12">
        <f t="shared" si="0"/>
        <v>2160.0700000000006</v>
      </c>
      <c r="O11" s="13">
        <f t="shared" si="1"/>
        <v>0.23999999999932697</v>
      </c>
      <c r="P11" s="9">
        <v>531</v>
      </c>
      <c r="Q11" s="14">
        <v>45848</v>
      </c>
      <c r="R11" s="15"/>
      <c r="S11" s="16">
        <f t="shared" si="2"/>
        <v>-1.0199999999999818</v>
      </c>
    </row>
    <row r="12" spans="1:19" x14ac:dyDescent="0.25">
      <c r="A12" s="7">
        <f>'[1]Cash Variance'!A11</f>
        <v>45847</v>
      </c>
      <c r="B12" s="8">
        <v>1790.81</v>
      </c>
      <c r="C12" s="9">
        <v>9.5</v>
      </c>
      <c r="D12" s="17">
        <v>143.38999999999999</v>
      </c>
      <c r="E12" s="9">
        <v>10.48</v>
      </c>
      <c r="F12" s="10">
        <f t="shared" si="3"/>
        <v>1954.1799999999998</v>
      </c>
      <c r="G12" s="9">
        <v>329.26</v>
      </c>
      <c r="H12" s="9">
        <v>1241.5899999999999</v>
      </c>
      <c r="I12" s="9">
        <v>0</v>
      </c>
      <c r="J12" s="9">
        <v>291.02999999999997</v>
      </c>
      <c r="K12" s="9">
        <v>53.48</v>
      </c>
      <c r="L12" s="9">
        <v>39.5</v>
      </c>
      <c r="M12" s="9">
        <v>0</v>
      </c>
      <c r="N12" s="12">
        <f t="shared" si="0"/>
        <v>1954.86</v>
      </c>
      <c r="O12" s="13">
        <f t="shared" si="1"/>
        <v>-0.68000000000006366</v>
      </c>
      <c r="P12" s="9">
        <v>381.72</v>
      </c>
      <c r="Q12" s="14">
        <v>45845</v>
      </c>
      <c r="R12" s="15"/>
      <c r="S12" s="16">
        <f t="shared" si="2"/>
        <v>52.460000000000036</v>
      </c>
    </row>
    <row r="13" spans="1:19" x14ac:dyDescent="0.25">
      <c r="A13" s="7">
        <f>'[1]Cash Variance'!A12</f>
        <v>45848</v>
      </c>
      <c r="B13" s="8">
        <v>1521.54</v>
      </c>
      <c r="C13" s="9">
        <v>4.49</v>
      </c>
      <c r="D13" s="9">
        <v>121.8</v>
      </c>
      <c r="E13" s="9">
        <v>8.15</v>
      </c>
      <c r="F13" s="10">
        <f t="shared" si="3"/>
        <v>1655.98</v>
      </c>
      <c r="G13" s="9">
        <v>320.55</v>
      </c>
      <c r="H13" s="9">
        <f>965.74-7.42</f>
        <v>958.32</v>
      </c>
      <c r="I13" s="9">
        <v>40.409999999999997</v>
      </c>
      <c r="J13" s="9">
        <v>277.29000000000002</v>
      </c>
      <c r="K13" s="9">
        <v>0</v>
      </c>
      <c r="L13" s="9">
        <v>59.41</v>
      </c>
      <c r="M13" s="9">
        <v>0</v>
      </c>
      <c r="N13" s="12">
        <f t="shared" si="0"/>
        <v>1655.9800000000002</v>
      </c>
      <c r="O13" s="13">
        <f t="shared" si="1"/>
        <v>0</v>
      </c>
      <c r="P13" s="9">
        <v>327.95</v>
      </c>
      <c r="Q13" s="14">
        <v>45852</v>
      </c>
      <c r="R13" s="15"/>
      <c r="S13" s="16">
        <f t="shared" si="2"/>
        <v>7.3999999999999773</v>
      </c>
    </row>
    <row r="14" spans="1:19" x14ac:dyDescent="0.25">
      <c r="A14" s="7">
        <f>'[1]Cash Variance'!A13</f>
        <v>45849</v>
      </c>
      <c r="B14" s="8">
        <v>2341.66</v>
      </c>
      <c r="C14" s="9">
        <v>22.27</v>
      </c>
      <c r="D14" s="9">
        <v>187.49</v>
      </c>
      <c r="E14" s="9">
        <v>27.47</v>
      </c>
      <c r="F14" s="10">
        <f t="shared" si="3"/>
        <v>2578.89</v>
      </c>
      <c r="G14" s="9">
        <v>342.58</v>
      </c>
      <c r="H14" s="9">
        <f>1775.33-10.47</f>
        <v>1764.86</v>
      </c>
      <c r="I14" s="9">
        <v>0</v>
      </c>
      <c r="J14" s="9">
        <v>315.55</v>
      </c>
      <c r="K14" s="9">
        <v>66.84</v>
      </c>
      <c r="L14" s="9">
        <v>89.06</v>
      </c>
      <c r="M14" s="9">
        <v>0</v>
      </c>
      <c r="N14" s="12">
        <f t="shared" si="0"/>
        <v>2578.8900000000003</v>
      </c>
      <c r="O14" s="13">
        <f t="shared" si="1"/>
        <v>0</v>
      </c>
      <c r="P14" s="9">
        <v>342.37</v>
      </c>
      <c r="Q14" s="14">
        <v>45852</v>
      </c>
      <c r="R14" s="15"/>
      <c r="S14" s="16">
        <f t="shared" si="2"/>
        <v>-0.20999999999997954</v>
      </c>
    </row>
    <row r="15" spans="1:19" x14ac:dyDescent="0.25">
      <c r="A15" s="7">
        <f>'[1]Cash Variance'!A14</f>
        <v>45850</v>
      </c>
      <c r="B15" s="8">
        <v>2335.91</v>
      </c>
      <c r="C15" s="9">
        <v>9</v>
      </c>
      <c r="D15" s="9">
        <v>187.01</v>
      </c>
      <c r="E15" s="9">
        <v>26.96</v>
      </c>
      <c r="F15" s="10">
        <f t="shared" si="3"/>
        <v>2558.88</v>
      </c>
      <c r="G15" s="9">
        <v>309.08</v>
      </c>
      <c r="H15" s="9">
        <f>1820.74-9.22</f>
        <v>1811.52</v>
      </c>
      <c r="I15" s="9">
        <v>40.67</v>
      </c>
      <c r="J15" s="9">
        <v>246.96</v>
      </c>
      <c r="K15" s="9">
        <v>0</v>
      </c>
      <c r="L15" s="9">
        <v>150.65</v>
      </c>
      <c r="M15" s="9">
        <v>0</v>
      </c>
      <c r="N15" s="12">
        <f t="shared" si="0"/>
        <v>2558.88</v>
      </c>
      <c r="O15" s="13">
        <f t="shared" si="1"/>
        <v>0</v>
      </c>
      <c r="P15" s="9">
        <v>320.79000000000002</v>
      </c>
      <c r="Q15" s="14">
        <v>45852</v>
      </c>
      <c r="R15" s="15"/>
      <c r="S15" s="16">
        <f t="shared" si="2"/>
        <v>11.710000000000036</v>
      </c>
    </row>
    <row r="16" spans="1:19" x14ac:dyDescent="0.25">
      <c r="A16" s="7">
        <f>'[1]Cash Variance'!A15</f>
        <v>45851</v>
      </c>
      <c r="B16" s="8">
        <v>1853.75</v>
      </c>
      <c r="C16" s="9">
        <v>14.27</v>
      </c>
      <c r="D16" s="9">
        <v>148.43</v>
      </c>
      <c r="E16" s="9">
        <v>13.29</v>
      </c>
      <c r="F16" s="10">
        <f t="shared" si="3"/>
        <v>2029.74</v>
      </c>
      <c r="G16" s="9">
        <v>173.66</v>
      </c>
      <c r="H16" s="9">
        <v>1407.76</v>
      </c>
      <c r="I16" s="9">
        <v>25.35</v>
      </c>
      <c r="J16" s="9">
        <v>363.1</v>
      </c>
      <c r="K16" s="9">
        <v>0</v>
      </c>
      <c r="L16" s="9">
        <v>60.54</v>
      </c>
      <c r="M16" s="9">
        <v>0</v>
      </c>
      <c r="N16" s="12">
        <f t="shared" si="0"/>
        <v>2030.4099999999999</v>
      </c>
      <c r="O16" s="13">
        <f t="shared" si="1"/>
        <v>-0.66999999999984539</v>
      </c>
      <c r="P16" s="9">
        <v>171.57</v>
      </c>
      <c r="Q16" s="14">
        <v>45852</v>
      </c>
      <c r="R16" s="15"/>
      <c r="S16" s="16">
        <f t="shared" si="2"/>
        <v>-2.0900000000000034</v>
      </c>
    </row>
    <row r="17" spans="1:19" x14ac:dyDescent="0.25">
      <c r="A17" s="7">
        <f>'[1]Cash Variance'!A16</f>
        <v>45852</v>
      </c>
      <c r="B17" s="8">
        <v>1410.75</v>
      </c>
      <c r="C17" s="9">
        <v>13.31</v>
      </c>
      <c r="D17" s="11">
        <v>112.97</v>
      </c>
      <c r="E17" s="9">
        <v>10.41</v>
      </c>
      <c r="F17" s="10">
        <f t="shared" si="3"/>
        <v>1547.44</v>
      </c>
      <c r="G17" s="9">
        <v>263.95</v>
      </c>
      <c r="H17" s="9">
        <f>902.37-5.26</f>
        <v>897.11</v>
      </c>
      <c r="I17" s="9">
        <v>0</v>
      </c>
      <c r="J17" s="9">
        <v>272.56</v>
      </c>
      <c r="K17" s="9">
        <v>86.32</v>
      </c>
      <c r="L17" s="9">
        <v>27.5</v>
      </c>
      <c r="M17" s="9">
        <v>0</v>
      </c>
      <c r="N17" s="12">
        <f t="shared" si="0"/>
        <v>1547.4399999999998</v>
      </c>
      <c r="O17" s="13">
        <f t="shared" si="1"/>
        <v>0</v>
      </c>
      <c r="P17" s="9">
        <v>261.64999999999998</v>
      </c>
      <c r="Q17" s="14">
        <v>45855</v>
      </c>
      <c r="R17" s="15"/>
      <c r="S17" s="16">
        <f t="shared" si="2"/>
        <v>-2.3000000000000114</v>
      </c>
    </row>
    <row r="18" spans="1:19" x14ac:dyDescent="0.25">
      <c r="A18" s="7">
        <f>'[1]Cash Variance'!A17</f>
        <v>45853</v>
      </c>
      <c r="B18" s="8">
        <v>1474.34</v>
      </c>
      <c r="C18" s="9">
        <v>4.43</v>
      </c>
      <c r="D18" s="11">
        <v>118.05</v>
      </c>
      <c r="E18" s="11">
        <v>9.67</v>
      </c>
      <c r="F18" s="10">
        <f t="shared" si="3"/>
        <v>1606.49</v>
      </c>
      <c r="G18" s="11">
        <v>197.3</v>
      </c>
      <c r="H18" s="11">
        <v>971.56</v>
      </c>
      <c r="I18" s="11">
        <v>8.09</v>
      </c>
      <c r="J18" s="11">
        <v>273.87</v>
      </c>
      <c r="K18" s="11">
        <v>120.86</v>
      </c>
      <c r="L18" s="11">
        <v>35.130000000000003</v>
      </c>
      <c r="M18" s="9">
        <v>0</v>
      </c>
      <c r="N18" s="12">
        <f t="shared" si="0"/>
        <v>1606.8099999999997</v>
      </c>
      <c r="O18" s="13">
        <f t="shared" si="1"/>
        <v>-0.31999999999970896</v>
      </c>
      <c r="P18" s="9">
        <v>197.7</v>
      </c>
      <c r="Q18" s="14">
        <v>45855</v>
      </c>
      <c r="R18" s="15"/>
      <c r="S18" s="16">
        <f t="shared" si="2"/>
        <v>0.39999999999997726</v>
      </c>
    </row>
    <row r="19" spans="1:19" x14ac:dyDescent="0.25">
      <c r="A19" s="7">
        <f>'[1]Cash Variance'!A18</f>
        <v>45854</v>
      </c>
      <c r="B19" s="8">
        <v>1543.47</v>
      </c>
      <c r="C19" s="9">
        <v>13.67</v>
      </c>
      <c r="D19" s="11">
        <v>123.56</v>
      </c>
      <c r="E19" s="11">
        <v>5.76</v>
      </c>
      <c r="F19" s="10">
        <f t="shared" si="3"/>
        <v>1686.46</v>
      </c>
      <c r="G19" s="11">
        <v>306.91000000000003</v>
      </c>
      <c r="H19" s="11">
        <f>979.23-4.71</f>
        <v>974.52</v>
      </c>
      <c r="I19" s="11">
        <v>39.200000000000003</v>
      </c>
      <c r="J19" s="11">
        <v>219.28</v>
      </c>
      <c r="K19" s="11">
        <v>0</v>
      </c>
      <c r="L19" s="11">
        <v>146.55000000000001</v>
      </c>
      <c r="M19" s="9">
        <v>0</v>
      </c>
      <c r="N19" s="12">
        <f t="shared" si="0"/>
        <v>1686.46</v>
      </c>
      <c r="O19" s="13">
        <f t="shared" si="1"/>
        <v>0</v>
      </c>
      <c r="P19" s="9">
        <v>305.75</v>
      </c>
      <c r="Q19" s="14">
        <v>45852</v>
      </c>
      <c r="R19" s="15"/>
      <c r="S19" s="16">
        <f t="shared" si="2"/>
        <v>-1.160000000000025</v>
      </c>
    </row>
    <row r="20" spans="1:19" x14ac:dyDescent="0.25">
      <c r="A20" s="7">
        <f>'[1]Cash Variance'!A19</f>
        <v>45855</v>
      </c>
      <c r="B20" s="8">
        <v>1840.66</v>
      </c>
      <c r="C20" s="8">
        <v>0</v>
      </c>
      <c r="D20" s="11">
        <v>147.34</v>
      </c>
      <c r="E20" s="11">
        <v>18.940000000000001</v>
      </c>
      <c r="F20" s="10">
        <f t="shared" si="3"/>
        <v>2006.94</v>
      </c>
      <c r="G20" s="11">
        <v>248.3</v>
      </c>
      <c r="H20" s="11">
        <f>1287.53-4.97</f>
        <v>1282.56</v>
      </c>
      <c r="I20" s="11">
        <v>0</v>
      </c>
      <c r="J20" s="11">
        <v>354.86</v>
      </c>
      <c r="K20" s="11">
        <v>0</v>
      </c>
      <c r="L20" s="11">
        <v>121.22</v>
      </c>
      <c r="M20" s="9">
        <v>0</v>
      </c>
      <c r="N20" s="12">
        <f t="shared" si="0"/>
        <v>2006.9399999999998</v>
      </c>
      <c r="O20" s="13">
        <f t="shared" si="1"/>
        <v>0</v>
      </c>
      <c r="P20" s="9">
        <v>248.5</v>
      </c>
      <c r="Q20" s="14">
        <v>45860</v>
      </c>
      <c r="R20" s="15"/>
      <c r="S20" s="16">
        <f t="shared" si="2"/>
        <v>0.19999999999998863</v>
      </c>
    </row>
    <row r="21" spans="1:19" x14ac:dyDescent="0.25">
      <c r="A21" s="7">
        <f>'[1]Cash Variance'!A20</f>
        <v>45856</v>
      </c>
      <c r="B21" s="8">
        <v>2561.1999999999998</v>
      </c>
      <c r="C21" s="8">
        <v>5.48</v>
      </c>
      <c r="D21" s="9">
        <v>205.04</v>
      </c>
      <c r="E21" s="9">
        <v>14.93</v>
      </c>
      <c r="F21" s="10">
        <f t="shared" si="3"/>
        <v>2786.6499999999996</v>
      </c>
      <c r="G21" s="9">
        <v>378.4</v>
      </c>
      <c r="H21" s="9">
        <f>1383.21-3.74</f>
        <v>1379.47</v>
      </c>
      <c r="I21" s="9">
        <v>0</v>
      </c>
      <c r="J21" s="9">
        <v>782.89</v>
      </c>
      <c r="K21" s="9">
        <v>109.46</v>
      </c>
      <c r="L21" s="9">
        <v>117.02</v>
      </c>
      <c r="M21" s="9">
        <v>19.41</v>
      </c>
      <c r="N21" s="12">
        <f t="shared" si="0"/>
        <v>2786.6499999999996</v>
      </c>
      <c r="O21" s="13">
        <f t="shared" si="1"/>
        <v>0</v>
      </c>
      <c r="P21" s="9">
        <v>377.43</v>
      </c>
      <c r="Q21" s="14">
        <v>45860</v>
      </c>
      <c r="R21" s="15"/>
      <c r="S21" s="16">
        <f t="shared" si="2"/>
        <v>-0.96999999999997044</v>
      </c>
    </row>
    <row r="22" spans="1:19" x14ac:dyDescent="0.25">
      <c r="A22" s="7">
        <f>'[1]Cash Variance'!A21</f>
        <v>45857</v>
      </c>
      <c r="B22" s="8">
        <v>2346.02</v>
      </c>
      <c r="C22" s="8">
        <v>17.8</v>
      </c>
      <c r="D22" s="9">
        <v>187.8</v>
      </c>
      <c r="E22" s="9">
        <v>19.739999999999998</v>
      </c>
      <c r="F22" s="10">
        <f t="shared" si="3"/>
        <v>2571.36</v>
      </c>
      <c r="G22" s="9">
        <v>329.56</v>
      </c>
      <c r="H22" s="9">
        <v>1758.11</v>
      </c>
      <c r="I22" s="9">
        <v>0</v>
      </c>
      <c r="J22" s="9">
        <v>401.18</v>
      </c>
      <c r="K22" s="9">
        <v>0</v>
      </c>
      <c r="L22" s="9">
        <v>82.8</v>
      </c>
      <c r="M22" s="9">
        <v>0</v>
      </c>
      <c r="N22" s="12">
        <f t="shared" si="0"/>
        <v>2571.65</v>
      </c>
      <c r="O22" s="13">
        <f t="shared" si="1"/>
        <v>-0.28999999999996362</v>
      </c>
      <c r="P22" s="9">
        <v>330</v>
      </c>
      <c r="Q22" s="14">
        <v>45860</v>
      </c>
      <c r="R22" s="15"/>
      <c r="S22" s="16">
        <f t="shared" si="2"/>
        <v>0.43999999999999773</v>
      </c>
    </row>
    <row r="23" spans="1:19" x14ac:dyDescent="0.25">
      <c r="A23" s="7">
        <f>'[1]Cash Variance'!A22</f>
        <v>45858</v>
      </c>
      <c r="B23" s="8">
        <v>1912.92</v>
      </c>
      <c r="C23" s="8">
        <v>15.6</v>
      </c>
      <c r="D23" s="9">
        <v>153.13</v>
      </c>
      <c r="E23" s="9">
        <v>16.899999999999999</v>
      </c>
      <c r="F23" s="10">
        <f t="shared" si="3"/>
        <v>2098.5500000000002</v>
      </c>
      <c r="G23" s="9">
        <v>417.06</v>
      </c>
      <c r="H23" s="9">
        <v>1170.3900000000001</v>
      </c>
      <c r="I23" s="9">
        <v>0</v>
      </c>
      <c r="J23" s="9">
        <v>394.37</v>
      </c>
      <c r="K23" s="9">
        <v>17.53</v>
      </c>
      <c r="L23" s="9">
        <v>99.94</v>
      </c>
      <c r="M23" s="9">
        <v>0</v>
      </c>
      <c r="N23" s="12">
        <f t="shared" si="0"/>
        <v>2099.29</v>
      </c>
      <c r="O23" s="13">
        <f t="shared" si="1"/>
        <v>-0.73999999999978172</v>
      </c>
      <c r="P23" s="9">
        <v>415.62</v>
      </c>
      <c r="Q23" s="14">
        <v>45866</v>
      </c>
      <c r="R23" s="15"/>
      <c r="S23" s="16">
        <f t="shared" si="2"/>
        <v>-1.4399999999999977</v>
      </c>
    </row>
    <row r="24" spans="1:19" x14ac:dyDescent="0.25">
      <c r="A24" s="7">
        <f>'[1]Cash Variance'!A23</f>
        <v>45859</v>
      </c>
      <c r="B24" s="8">
        <v>1901.87</v>
      </c>
      <c r="C24" s="8">
        <v>20.43</v>
      </c>
      <c r="D24" s="9">
        <v>152.24</v>
      </c>
      <c r="E24" s="11">
        <v>17.45</v>
      </c>
      <c r="F24" s="10">
        <f t="shared" si="3"/>
        <v>2091.9899999999998</v>
      </c>
      <c r="G24" s="9">
        <v>332.04</v>
      </c>
      <c r="H24" s="9">
        <v>1188.49</v>
      </c>
      <c r="I24" s="9">
        <v>58.75</v>
      </c>
      <c r="J24" s="9">
        <v>391.04</v>
      </c>
      <c r="K24" s="9">
        <v>82.78</v>
      </c>
      <c r="L24" s="9">
        <v>39.479999999999997</v>
      </c>
      <c r="M24" s="9">
        <v>0</v>
      </c>
      <c r="N24" s="12">
        <f t="shared" si="0"/>
        <v>2092.58</v>
      </c>
      <c r="O24" s="13">
        <f t="shared" si="1"/>
        <v>-0.59000000000014552</v>
      </c>
      <c r="P24" s="9">
        <v>330.1</v>
      </c>
      <c r="Q24" s="14">
        <v>45866</v>
      </c>
      <c r="R24" s="18"/>
      <c r="S24" s="16">
        <f t="shared" si="2"/>
        <v>-1.9399999999999977</v>
      </c>
    </row>
    <row r="25" spans="1:19" x14ac:dyDescent="0.25">
      <c r="A25" s="7">
        <f>'[1]Cash Variance'!A24</f>
        <v>45860</v>
      </c>
      <c r="B25" s="8">
        <v>1807.29</v>
      </c>
      <c r="C25" s="8">
        <v>26.92</v>
      </c>
      <c r="D25" s="9">
        <v>144.69999999999999</v>
      </c>
      <c r="E25" s="11">
        <v>41.96</v>
      </c>
      <c r="F25" s="10">
        <f t="shared" si="3"/>
        <v>2020.8700000000001</v>
      </c>
      <c r="G25" s="9">
        <v>295.83999999999997</v>
      </c>
      <c r="H25" s="9">
        <f>1311.49-1.92</f>
        <v>1309.57</v>
      </c>
      <c r="I25" s="9">
        <v>25.73</v>
      </c>
      <c r="J25" s="9">
        <v>374.6</v>
      </c>
      <c r="K25" s="9">
        <v>0</v>
      </c>
      <c r="L25" s="9">
        <v>15.13</v>
      </c>
      <c r="M25" s="9">
        <v>0</v>
      </c>
      <c r="N25" s="12">
        <f t="shared" si="0"/>
        <v>2020.87</v>
      </c>
      <c r="O25" s="13">
        <f t="shared" si="1"/>
        <v>0</v>
      </c>
      <c r="P25" s="9">
        <v>305.32</v>
      </c>
      <c r="Q25" s="14">
        <v>45860</v>
      </c>
      <c r="R25" s="15"/>
      <c r="S25" s="16">
        <f t="shared" si="2"/>
        <v>9.4800000000000182</v>
      </c>
    </row>
    <row r="26" spans="1:19" x14ac:dyDescent="0.25">
      <c r="A26" s="7">
        <f>'[1]Cash Variance'!A25</f>
        <v>45861</v>
      </c>
      <c r="B26" s="8">
        <v>1545.24</v>
      </c>
      <c r="C26" s="8">
        <v>13.08</v>
      </c>
      <c r="D26" s="9">
        <v>123.7</v>
      </c>
      <c r="E26" s="9">
        <v>14.04</v>
      </c>
      <c r="F26" s="10">
        <f t="shared" si="3"/>
        <v>1696.06</v>
      </c>
      <c r="G26" s="9">
        <v>301.37</v>
      </c>
      <c r="H26" s="9">
        <f>914.92-2.44</f>
        <v>912.4799999999999</v>
      </c>
      <c r="I26" s="9">
        <v>7.01</v>
      </c>
      <c r="J26" s="9">
        <v>374.68</v>
      </c>
      <c r="K26" s="9">
        <v>85.52</v>
      </c>
      <c r="L26" s="9">
        <v>0</v>
      </c>
      <c r="M26" s="9">
        <v>15</v>
      </c>
      <c r="N26" s="12">
        <f t="shared" si="0"/>
        <v>1696.06</v>
      </c>
      <c r="O26" s="13">
        <f t="shared" si="1"/>
        <v>0</v>
      </c>
      <c r="P26" s="9">
        <v>301.52</v>
      </c>
      <c r="Q26" s="14">
        <v>45866</v>
      </c>
      <c r="R26" s="15"/>
      <c r="S26" s="16">
        <f t="shared" si="2"/>
        <v>0.14999999999997726</v>
      </c>
    </row>
    <row r="27" spans="1:19" x14ac:dyDescent="0.25">
      <c r="A27" s="7">
        <f>'[1]Cash Variance'!A26</f>
        <v>45862</v>
      </c>
      <c r="B27" s="8">
        <v>1900.12</v>
      </c>
      <c r="C27" s="8">
        <v>20.03</v>
      </c>
      <c r="D27" s="9">
        <v>152.09</v>
      </c>
      <c r="E27" s="9">
        <v>15.75</v>
      </c>
      <c r="F27" s="10">
        <f t="shared" si="3"/>
        <v>2087.9899999999998</v>
      </c>
      <c r="G27" s="9">
        <v>263.91000000000003</v>
      </c>
      <c r="H27" s="9">
        <f>1277.02-3.88</f>
        <v>1273.1399999999999</v>
      </c>
      <c r="I27" s="9">
        <v>0</v>
      </c>
      <c r="J27" s="9">
        <v>475.26</v>
      </c>
      <c r="K27" s="9">
        <v>0</v>
      </c>
      <c r="L27" s="9">
        <v>75.680000000000007</v>
      </c>
      <c r="M27" s="9">
        <v>0</v>
      </c>
      <c r="N27" s="12">
        <f t="shared" si="0"/>
        <v>2087.9899999999998</v>
      </c>
      <c r="O27" s="13">
        <f t="shared" si="1"/>
        <v>0</v>
      </c>
      <c r="P27" s="9">
        <v>262.77</v>
      </c>
      <c r="Q27" s="14">
        <v>45866</v>
      </c>
      <c r="R27" s="15"/>
      <c r="S27" s="16">
        <f t="shared" si="2"/>
        <v>-1.1400000000000432</v>
      </c>
    </row>
    <row r="28" spans="1:19" x14ac:dyDescent="0.25">
      <c r="A28" s="7">
        <f>'[1]Cash Variance'!A27</f>
        <v>45863</v>
      </c>
      <c r="B28" s="9">
        <v>2312.4299999999998</v>
      </c>
      <c r="C28" s="9">
        <v>22.14</v>
      </c>
      <c r="D28" s="9">
        <v>185.17</v>
      </c>
      <c r="E28" s="9">
        <v>13.37</v>
      </c>
      <c r="F28" s="10">
        <f t="shared" si="3"/>
        <v>2533.1099999999997</v>
      </c>
      <c r="G28" s="9">
        <v>454.55</v>
      </c>
      <c r="H28" s="9">
        <f>1452.93-3.21</f>
        <v>1449.72</v>
      </c>
      <c r="I28" s="9">
        <v>0</v>
      </c>
      <c r="J28" s="9">
        <v>557.34</v>
      </c>
      <c r="K28" s="9">
        <v>36.33</v>
      </c>
      <c r="L28" s="9">
        <v>26.32</v>
      </c>
      <c r="M28" s="9">
        <v>8.85</v>
      </c>
      <c r="N28" s="12">
        <f t="shared" si="0"/>
        <v>2533.11</v>
      </c>
      <c r="O28" s="13">
        <f t="shared" si="1"/>
        <v>0</v>
      </c>
      <c r="P28" s="9">
        <v>451.6</v>
      </c>
      <c r="Q28" s="14">
        <v>45869</v>
      </c>
      <c r="R28" s="15"/>
      <c r="S28" s="16">
        <f t="shared" si="2"/>
        <v>-2.9499999999999886</v>
      </c>
    </row>
    <row r="29" spans="1:19" x14ac:dyDescent="0.25">
      <c r="A29" s="7">
        <f>'[1]Cash Variance'!A28</f>
        <v>45864</v>
      </c>
      <c r="B29" s="8">
        <v>1907.76</v>
      </c>
      <c r="C29" s="8">
        <v>13.05</v>
      </c>
      <c r="D29" s="9">
        <v>152.72999999999999</v>
      </c>
      <c r="E29" s="9">
        <v>14.93</v>
      </c>
      <c r="F29" s="10">
        <f t="shared" si="3"/>
        <v>2088.4699999999998</v>
      </c>
      <c r="G29" s="9">
        <v>390.62</v>
      </c>
      <c r="H29" s="9">
        <f>1377.03-2</f>
        <v>1375.03</v>
      </c>
      <c r="I29" s="9">
        <v>42.62</v>
      </c>
      <c r="J29" s="9">
        <v>280.2</v>
      </c>
      <c r="K29" s="9">
        <v>0</v>
      </c>
      <c r="L29" s="9">
        <v>0</v>
      </c>
      <c r="M29" s="9">
        <v>0</v>
      </c>
      <c r="N29" s="12">
        <f t="shared" si="0"/>
        <v>2088.4699999999998</v>
      </c>
      <c r="O29" s="13">
        <f t="shared" si="1"/>
        <v>0</v>
      </c>
      <c r="P29" s="19">
        <v>390.16</v>
      </c>
      <c r="Q29" s="14">
        <v>45869</v>
      </c>
      <c r="R29" s="15"/>
      <c r="S29" s="16">
        <f t="shared" si="2"/>
        <v>-0.45999999999997954</v>
      </c>
    </row>
    <row r="30" spans="1:19" x14ac:dyDescent="0.25">
      <c r="A30" s="7">
        <f>'[1]Cash Variance'!A29</f>
        <v>45865</v>
      </c>
      <c r="B30" s="8">
        <v>2123.83</v>
      </c>
      <c r="C30" s="8">
        <v>9.18</v>
      </c>
      <c r="D30" s="9">
        <v>170.04</v>
      </c>
      <c r="E30" s="9">
        <v>14.13</v>
      </c>
      <c r="F30" s="10">
        <f t="shared" si="3"/>
        <v>2317.1799999999998</v>
      </c>
      <c r="G30" s="9">
        <v>247.07</v>
      </c>
      <c r="H30" s="9">
        <f>1331.83-2.77</f>
        <v>1329.06</v>
      </c>
      <c r="I30" s="9">
        <v>0</v>
      </c>
      <c r="J30" s="9">
        <v>586.33000000000004</v>
      </c>
      <c r="K30" s="9">
        <v>43.86</v>
      </c>
      <c r="L30" s="9">
        <v>110.86</v>
      </c>
      <c r="M30" s="9">
        <v>0</v>
      </c>
      <c r="N30" s="12">
        <f t="shared" si="0"/>
        <v>2317.1800000000003</v>
      </c>
      <c r="O30" s="13">
        <f t="shared" si="1"/>
        <v>0</v>
      </c>
      <c r="P30" s="19">
        <v>247.73</v>
      </c>
      <c r="Q30" s="14">
        <v>45869</v>
      </c>
      <c r="R30" s="15"/>
      <c r="S30" s="16">
        <f t="shared" si="2"/>
        <v>0.65999999999999659</v>
      </c>
    </row>
    <row r="31" spans="1:19" x14ac:dyDescent="0.25">
      <c r="A31" s="7">
        <f>'[1]Cash Variance'!A30</f>
        <v>45866</v>
      </c>
      <c r="B31" s="8">
        <v>1531.71</v>
      </c>
      <c r="C31" s="8">
        <v>4.49</v>
      </c>
      <c r="D31" s="9">
        <v>122.64</v>
      </c>
      <c r="E31" s="9">
        <v>7.86</v>
      </c>
      <c r="F31" s="10">
        <f t="shared" si="3"/>
        <v>1666.7</v>
      </c>
      <c r="G31" s="9">
        <v>281.77999999999997</v>
      </c>
      <c r="H31" s="9">
        <v>1173.8399999999999</v>
      </c>
      <c r="I31" s="9">
        <v>0</v>
      </c>
      <c r="J31" s="9">
        <v>183.96</v>
      </c>
      <c r="K31" s="9">
        <v>27.08</v>
      </c>
      <c r="L31" s="9">
        <v>0</v>
      </c>
      <c r="M31" s="9">
        <v>0</v>
      </c>
      <c r="N31" s="12">
        <f t="shared" si="0"/>
        <v>1666.6599999999999</v>
      </c>
      <c r="O31" s="13">
        <f t="shared" si="1"/>
        <v>4.0000000000190994E-2</v>
      </c>
      <c r="P31" s="9">
        <v>397.21</v>
      </c>
      <c r="Q31" s="14">
        <v>45866</v>
      </c>
      <c r="R31" s="15"/>
      <c r="S31" s="16">
        <f t="shared" si="2"/>
        <v>115.43</v>
      </c>
    </row>
    <row r="32" spans="1:19" x14ac:dyDescent="0.25">
      <c r="A32" s="7">
        <f>'[1]Cash Variance'!A31</f>
        <v>45867</v>
      </c>
      <c r="B32" s="8">
        <v>319.14</v>
      </c>
      <c r="C32" s="8">
        <v>0</v>
      </c>
      <c r="D32" s="9">
        <v>25.55</v>
      </c>
      <c r="E32" s="9">
        <v>0</v>
      </c>
      <c r="F32" s="10">
        <f t="shared" si="3"/>
        <v>344.69</v>
      </c>
      <c r="G32" s="9">
        <v>59.32</v>
      </c>
      <c r="H32" s="9">
        <v>180.28</v>
      </c>
      <c r="I32" s="9">
        <v>0</v>
      </c>
      <c r="J32" s="9">
        <v>23.39</v>
      </c>
      <c r="K32" s="9">
        <v>81.7</v>
      </c>
      <c r="L32" s="9">
        <v>0</v>
      </c>
      <c r="M32" s="9">
        <v>0</v>
      </c>
      <c r="N32" s="12">
        <f t="shared" si="0"/>
        <v>344.69</v>
      </c>
      <c r="O32" s="13">
        <f t="shared" si="1"/>
        <v>0</v>
      </c>
      <c r="P32" s="9">
        <v>60.55</v>
      </c>
      <c r="Q32" s="14">
        <v>45869</v>
      </c>
      <c r="R32" s="15"/>
      <c r="S32" s="16">
        <f t="shared" si="2"/>
        <v>1.2299999999999969</v>
      </c>
    </row>
    <row r="33" spans="1:19" x14ac:dyDescent="0.25">
      <c r="A33" s="7">
        <f>'[1]Cash Variance'!A32</f>
        <v>45868</v>
      </c>
      <c r="B33" s="8">
        <v>849.8</v>
      </c>
      <c r="C33" s="8">
        <v>0</v>
      </c>
      <c r="D33" s="9">
        <v>68.06</v>
      </c>
      <c r="E33" s="9">
        <v>0</v>
      </c>
      <c r="F33" s="10">
        <f t="shared" si="3"/>
        <v>917.8599999999999</v>
      </c>
      <c r="G33" s="9">
        <v>210.9</v>
      </c>
      <c r="H33" s="9">
        <v>706.96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2">
        <f t="shared" si="0"/>
        <v>917.86</v>
      </c>
      <c r="O33" s="13">
        <f t="shared" si="1"/>
        <v>0</v>
      </c>
      <c r="P33" s="9"/>
      <c r="Q33" s="14"/>
      <c r="R33" s="15"/>
      <c r="S33" s="16">
        <f t="shared" si="2"/>
        <v>-210.9</v>
      </c>
    </row>
    <row r="34" spans="1:19" ht="15.75" thickBot="1" x14ac:dyDescent="0.3">
      <c r="A34" s="7">
        <f>'[1]Cash Variance'!A33</f>
        <v>45869</v>
      </c>
      <c r="B34" s="8">
        <v>2196.56</v>
      </c>
      <c r="C34" s="8">
        <v>27.66</v>
      </c>
      <c r="D34" s="9">
        <v>175.81</v>
      </c>
      <c r="E34" s="9">
        <v>20.100000000000001</v>
      </c>
      <c r="F34" s="10">
        <f t="shared" si="3"/>
        <v>2420.1299999999997</v>
      </c>
      <c r="G34" s="9">
        <v>327.36</v>
      </c>
      <c r="H34" s="9">
        <f>1667.75-2.81</f>
        <v>1664.94</v>
      </c>
      <c r="I34" s="9">
        <v>71.739999999999995</v>
      </c>
      <c r="J34" s="9">
        <v>202.88</v>
      </c>
      <c r="K34" s="9">
        <v>25.37</v>
      </c>
      <c r="L34" s="9">
        <v>110.5</v>
      </c>
      <c r="M34" s="9">
        <v>17.34</v>
      </c>
      <c r="N34" s="12">
        <f t="shared" si="0"/>
        <v>2420.13</v>
      </c>
      <c r="O34" s="13">
        <f t="shared" si="1"/>
        <v>0</v>
      </c>
      <c r="P34" s="9"/>
      <c r="Q34" s="14"/>
      <c r="R34" s="15"/>
      <c r="S34" s="16">
        <f t="shared" si="2"/>
        <v>-327.36</v>
      </c>
    </row>
    <row r="35" spans="1:19" ht="15.75" thickBot="1" x14ac:dyDescent="0.3">
      <c r="A35" s="20" t="s">
        <v>10</v>
      </c>
      <c r="B35" s="21">
        <f t="shared" ref="B35:M35" si="4">SUM(B4:B34)</f>
        <v>56308.76</v>
      </c>
      <c r="C35" s="21">
        <f t="shared" si="4"/>
        <v>361.08</v>
      </c>
      <c r="D35" s="21">
        <f t="shared" si="4"/>
        <v>4508.050000000002</v>
      </c>
      <c r="E35" s="21">
        <f>SUM(E4:E34)</f>
        <v>463.47999999999996</v>
      </c>
      <c r="F35" s="22">
        <f>SUM(F4:F34)</f>
        <v>61641.369999999995</v>
      </c>
      <c r="G35" s="21">
        <f t="shared" si="4"/>
        <v>9599.7800000000007</v>
      </c>
      <c r="H35" s="21">
        <f>SUM(H4:H34)</f>
        <v>37887.130000000005</v>
      </c>
      <c r="I35" s="21">
        <f t="shared" si="4"/>
        <v>493.68</v>
      </c>
      <c r="J35" s="21">
        <f t="shared" si="4"/>
        <v>10259.549999999999</v>
      </c>
      <c r="K35" s="21">
        <f t="shared" si="4"/>
        <v>1065.56</v>
      </c>
      <c r="L35" s="21">
        <f t="shared" si="4"/>
        <v>2268.0800000000004</v>
      </c>
      <c r="M35" s="21">
        <f t="shared" si="4"/>
        <v>70.599999999999994</v>
      </c>
      <c r="N35" s="22">
        <f>SUM(N4:N34)</f>
        <v>61644.380000000012</v>
      </c>
      <c r="O35" s="22">
        <f t="shared" ref="O35:R35" si="5">SUM(O4:O34)</f>
        <v>-3.0099999999999909</v>
      </c>
      <c r="P35" s="21">
        <f>SUM(P4:P34)</f>
        <v>8775.98</v>
      </c>
      <c r="Q35" s="21"/>
      <c r="R35" s="21">
        <f t="shared" si="5"/>
        <v>0</v>
      </c>
      <c r="S35" s="22">
        <f>SUM(S4:S34)</f>
        <v>-823.8</v>
      </c>
    </row>
    <row r="36" spans="1:19" x14ac:dyDescent="0.25">
      <c r="A36" s="23" t="s">
        <v>1</v>
      </c>
      <c r="B36" s="24">
        <f>+B35</f>
        <v>56308.76</v>
      </c>
      <c r="C36" s="24">
        <f>+C35</f>
        <v>361.08</v>
      </c>
      <c r="D36" s="24">
        <f>+D35</f>
        <v>4508.050000000002</v>
      </c>
      <c r="E36" s="24">
        <f>+E35</f>
        <v>463.47999999999996</v>
      </c>
      <c r="F36" s="23"/>
      <c r="G36" s="24">
        <f>+G35</f>
        <v>9599.7800000000007</v>
      </c>
      <c r="H36" s="23"/>
      <c r="I36" s="23"/>
      <c r="J36" s="24">
        <f>+J35</f>
        <v>10259.549999999999</v>
      </c>
      <c r="K36" s="24">
        <f>+K35</f>
        <v>1065.56</v>
      </c>
      <c r="L36" s="24">
        <f>+L35</f>
        <v>2268.0800000000004</v>
      </c>
      <c r="M36" s="24">
        <f>+M35</f>
        <v>70.599999999999994</v>
      </c>
      <c r="N36" s="23"/>
      <c r="O36" s="23"/>
      <c r="P36" s="23"/>
      <c r="Q36" s="25"/>
      <c r="R36" s="23"/>
      <c r="S36" s="23"/>
    </row>
    <row r="37" spans="1:19" x14ac:dyDescent="0.25">
      <c r="A37" s="26" t="s">
        <v>11</v>
      </c>
      <c r="B37" s="27">
        <f>+B35</f>
        <v>56308.76</v>
      </c>
      <c r="C37" s="27">
        <f>+C35</f>
        <v>361.08</v>
      </c>
      <c r="D37" s="27">
        <f>+D35</f>
        <v>4508.050000000002</v>
      </c>
      <c r="E37" s="27">
        <f>+E35</f>
        <v>463.47999999999996</v>
      </c>
      <c r="F37" s="26"/>
      <c r="G37" s="27">
        <f>+G35</f>
        <v>9599.7800000000007</v>
      </c>
      <c r="H37" s="26"/>
      <c r="I37" s="26"/>
      <c r="J37" s="27">
        <f>+J35</f>
        <v>10259.549999999999</v>
      </c>
      <c r="K37" s="27">
        <f>+K35</f>
        <v>1065.56</v>
      </c>
      <c r="L37" s="27">
        <f>+L35</f>
        <v>2268.0800000000004</v>
      </c>
      <c r="M37" s="27">
        <f>+M35</f>
        <v>70.599999999999994</v>
      </c>
      <c r="N37" s="26"/>
      <c r="O37" s="26"/>
      <c r="P37" s="26"/>
      <c r="Q37" s="26"/>
      <c r="R37" s="26"/>
      <c r="S37" s="26"/>
    </row>
    <row r="38" spans="1:19" x14ac:dyDescent="0.25">
      <c r="A38" s="26"/>
      <c r="B38" s="26"/>
      <c r="C38" s="26"/>
      <c r="D38" s="26"/>
      <c r="E38" s="26"/>
      <c r="F38" s="26"/>
      <c r="G38" s="26"/>
      <c r="H38" s="34" t="s">
        <v>12</v>
      </c>
      <c r="I38" s="34"/>
      <c r="J38" s="29">
        <v>12509.65</v>
      </c>
      <c r="K38" s="28">
        <f>1160.47-45.81</f>
        <v>1114.6600000000001</v>
      </c>
      <c r="L38" s="28">
        <f>2717.48+160.61</f>
        <v>2878.09</v>
      </c>
      <c r="M38" s="26"/>
      <c r="N38" s="26"/>
      <c r="O38" s="26"/>
      <c r="P38" s="26"/>
      <c r="Q38" s="26"/>
      <c r="R38" s="26"/>
      <c r="S38" s="26"/>
    </row>
    <row r="39" spans="1:19" x14ac:dyDescent="0.25">
      <c r="A39" s="26"/>
      <c r="B39" s="26"/>
      <c r="C39" s="26"/>
      <c r="D39" s="26"/>
      <c r="E39" s="26"/>
      <c r="F39" s="26"/>
      <c r="G39" s="26"/>
      <c r="H39" s="34" t="s">
        <v>13</v>
      </c>
      <c r="I39" s="34"/>
      <c r="J39" s="30">
        <f>+J38-J35</f>
        <v>2250.1000000000004</v>
      </c>
      <c r="K39" s="31">
        <f>+K38-K35</f>
        <v>49.100000000000136</v>
      </c>
      <c r="L39" s="31">
        <f>+L38-L35</f>
        <v>610.00999999999976</v>
      </c>
      <c r="M39" s="26"/>
      <c r="N39" s="26"/>
      <c r="O39" s="26"/>
      <c r="P39" s="26"/>
      <c r="Q39" s="26"/>
      <c r="R39" s="26"/>
      <c r="S39" s="26"/>
    </row>
    <row r="40" spans="1:19" x14ac:dyDescent="0.25">
      <c r="A40" s="26"/>
      <c r="B40" s="26"/>
      <c r="C40" s="26"/>
      <c r="D40" s="26"/>
      <c r="E40" s="26"/>
      <c r="F40" s="26"/>
      <c r="G40" s="26"/>
      <c r="H40" s="34" t="s">
        <v>14</v>
      </c>
      <c r="I40" s="34"/>
      <c r="J40" s="29">
        <v>-1993.01</v>
      </c>
      <c r="K40" s="28">
        <v>-105.36</v>
      </c>
      <c r="L40" s="28">
        <f>-421.71+191.43</f>
        <v>-230.27999999999997</v>
      </c>
      <c r="M40" s="26"/>
      <c r="N40" s="26"/>
      <c r="O40" s="26"/>
      <c r="P40" s="26"/>
      <c r="Q40" s="26"/>
      <c r="R40" s="26"/>
      <c r="S40" s="26"/>
    </row>
    <row r="41" spans="1:19" x14ac:dyDescent="0.25">
      <c r="A41" s="26"/>
      <c r="B41" s="26"/>
      <c r="C41" s="26"/>
      <c r="D41" s="26"/>
      <c r="E41" s="26"/>
      <c r="F41" s="26"/>
      <c r="G41" s="26"/>
      <c r="H41" s="34" t="s">
        <v>15</v>
      </c>
      <c r="I41" s="34"/>
      <c r="J41" s="29">
        <v>-2332.37</v>
      </c>
      <c r="K41" s="28">
        <f>-93.77-65.86</f>
        <v>-159.63</v>
      </c>
      <c r="L41" s="28">
        <v>-586.84</v>
      </c>
      <c r="M41" s="26"/>
      <c r="N41" s="26"/>
      <c r="O41" s="26"/>
      <c r="P41" s="26"/>
      <c r="Q41" s="26"/>
      <c r="R41" s="26"/>
      <c r="S41" s="26"/>
    </row>
    <row r="42" spans="1:19" x14ac:dyDescent="0.25">
      <c r="A42" s="26"/>
      <c r="B42" s="26"/>
      <c r="C42" s="26"/>
      <c r="D42" s="26"/>
      <c r="E42" s="26"/>
      <c r="F42" s="26"/>
      <c r="G42" s="26"/>
      <c r="H42" s="34" t="s">
        <v>16</v>
      </c>
      <c r="I42" s="34"/>
      <c r="J42" s="29">
        <v>-196.82</v>
      </c>
      <c r="K42" s="28">
        <v>-61.05</v>
      </c>
      <c r="L42" s="28">
        <v>-6.56</v>
      </c>
      <c r="M42" s="26"/>
      <c r="N42" s="26"/>
      <c r="O42" s="26"/>
      <c r="P42" s="26"/>
      <c r="Q42" s="26"/>
      <c r="R42" s="26"/>
      <c r="S42" s="26"/>
    </row>
    <row r="43" spans="1:19" ht="15.75" thickBot="1" x14ac:dyDescent="0.3">
      <c r="A43" s="26"/>
      <c r="B43" s="26"/>
      <c r="C43" s="26"/>
      <c r="D43" s="26"/>
      <c r="E43" s="26"/>
      <c r="F43" s="26"/>
      <c r="G43" s="26"/>
      <c r="H43" s="35" t="s">
        <v>17</v>
      </c>
      <c r="I43" s="35"/>
      <c r="J43" s="32">
        <f>+J38+J40+J41+J42</f>
        <v>7987.45</v>
      </c>
      <c r="K43" s="33">
        <f>+K38+K40+K41+K42</f>
        <v>788.62000000000012</v>
      </c>
      <c r="L43" s="33">
        <f>+L38+L40+L41+L42</f>
        <v>2054.4100000000003</v>
      </c>
      <c r="M43" s="26"/>
      <c r="N43" s="26"/>
      <c r="O43" s="26"/>
      <c r="P43" s="26"/>
      <c r="Q43" s="26"/>
      <c r="R43" s="26"/>
      <c r="S43" s="26"/>
    </row>
    <row r="44" spans="1:19" ht="15.75" thickTop="1" x14ac:dyDescent="0.25"/>
  </sheetData>
  <mergeCells count="9">
    <mergeCell ref="H41:I41"/>
    <mergeCell ref="H42:I42"/>
    <mergeCell ref="H43:I43"/>
    <mergeCell ref="A1:S1"/>
    <mergeCell ref="A2:O2"/>
    <mergeCell ref="P2:S2"/>
    <mergeCell ref="H38:I38"/>
    <mergeCell ref="H39:I39"/>
    <mergeCell ref="H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2025-08-21T05:41:34Z</dcterms:created>
  <dcterms:modified xsi:type="dcterms:W3CDTF">2025-10-07T06:32:25Z</dcterms:modified>
</cp:coreProperties>
</file>