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vantika Infotech\COGS\Sales\"/>
    </mc:Choice>
  </mc:AlternateContent>
  <xr:revisionPtr revIDLastSave="0" documentId="13_ncr:1_{07CFD977-D2A8-4DD6-9420-00ACB63A6218}" xr6:coauthVersionLast="47" xr6:coauthVersionMax="47" xr10:uidLastSave="{00000000-0000-0000-0000-000000000000}"/>
  <bookViews>
    <workbookView xWindow="-120" yWindow="-120" windowWidth="20730" windowHeight="11040" xr2:uid="{CCAABE54-E66C-40F0-ACD1-69227D0B8B4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L33" i="1"/>
  <c r="G33" i="1"/>
  <c r="G35" i="1" s="1"/>
  <c r="D33" i="1"/>
  <c r="D35" i="1" s="1"/>
  <c r="J41" i="1"/>
  <c r="H2" i="1"/>
  <c r="F2" i="1"/>
  <c r="A2" i="1"/>
  <c r="K39" i="1"/>
  <c r="L38" i="1"/>
  <c r="L41" i="1" s="1"/>
  <c r="K36" i="1"/>
  <c r="K41" i="1" s="1"/>
  <c r="E35" i="1"/>
  <c r="R33" i="1"/>
  <c r="M33" i="1"/>
  <c r="M35" i="1" s="1"/>
  <c r="L35" i="1"/>
  <c r="K33" i="1"/>
  <c r="J33" i="1"/>
  <c r="J37" i="1" s="1"/>
  <c r="I33" i="1"/>
  <c r="E33" i="1"/>
  <c r="C33" i="1"/>
  <c r="C35" i="1" s="1"/>
  <c r="B33" i="1"/>
  <c r="B35" i="1" s="1"/>
  <c r="S32" i="1"/>
  <c r="H32" i="1"/>
  <c r="N32" i="1" s="1"/>
  <c r="F32" i="1"/>
  <c r="A32" i="1"/>
  <c r="S31" i="1"/>
  <c r="N31" i="1"/>
  <c r="F31" i="1"/>
  <c r="O31" i="1" s="1"/>
  <c r="A31" i="1"/>
  <c r="S30" i="1"/>
  <c r="N30" i="1"/>
  <c r="F30" i="1"/>
  <c r="O30" i="1" s="1"/>
  <c r="A30" i="1"/>
  <c r="S29" i="1"/>
  <c r="N29" i="1"/>
  <c r="F29" i="1"/>
  <c r="O29" i="1" s="1"/>
  <c r="A29" i="1"/>
  <c r="S28" i="1"/>
  <c r="N28" i="1"/>
  <c r="F28" i="1"/>
  <c r="A28" i="1"/>
  <c r="S27" i="1"/>
  <c r="N27" i="1"/>
  <c r="F27" i="1"/>
  <c r="O27" i="1" s="1"/>
  <c r="A27" i="1"/>
  <c r="S26" i="1"/>
  <c r="N26" i="1"/>
  <c r="F26" i="1"/>
  <c r="O26" i="1" s="1"/>
  <c r="A26" i="1"/>
  <c r="S25" i="1"/>
  <c r="N25" i="1"/>
  <c r="F25" i="1"/>
  <c r="O25" i="1" s="1"/>
  <c r="A25" i="1"/>
  <c r="S24" i="1"/>
  <c r="N24" i="1"/>
  <c r="F24" i="1"/>
  <c r="A24" i="1"/>
  <c r="S23" i="1"/>
  <c r="N23" i="1"/>
  <c r="F23" i="1"/>
  <c r="O23" i="1" s="1"/>
  <c r="A23" i="1"/>
  <c r="S22" i="1"/>
  <c r="N22" i="1"/>
  <c r="F22" i="1"/>
  <c r="A22" i="1"/>
  <c r="S21" i="1"/>
  <c r="N21" i="1"/>
  <c r="F21" i="1"/>
  <c r="O21" i="1" s="1"/>
  <c r="A21" i="1"/>
  <c r="S20" i="1"/>
  <c r="N20" i="1"/>
  <c r="O20" i="1" s="1"/>
  <c r="F20" i="1"/>
  <c r="A20" i="1"/>
  <c r="S19" i="1"/>
  <c r="H19" i="1"/>
  <c r="N19" i="1" s="1"/>
  <c r="F19" i="1"/>
  <c r="O19" i="1" s="1"/>
  <c r="A19" i="1"/>
  <c r="S18" i="1"/>
  <c r="H18" i="1"/>
  <c r="N18" i="1" s="1"/>
  <c r="F18" i="1"/>
  <c r="A18" i="1"/>
  <c r="S17" i="1"/>
  <c r="H17" i="1"/>
  <c r="N17" i="1" s="1"/>
  <c r="F17" i="1"/>
  <c r="O17" i="1" s="1"/>
  <c r="A17" i="1"/>
  <c r="S16" i="1"/>
  <c r="H16" i="1"/>
  <c r="N16" i="1" s="1"/>
  <c r="O16" i="1" s="1"/>
  <c r="F16" i="1"/>
  <c r="A16" i="1"/>
  <c r="S15" i="1"/>
  <c r="H15" i="1"/>
  <c r="N15" i="1" s="1"/>
  <c r="F15" i="1"/>
  <c r="O15" i="1" s="1"/>
  <c r="A15" i="1"/>
  <c r="S14" i="1"/>
  <c r="H14" i="1"/>
  <c r="N14" i="1" s="1"/>
  <c r="F14" i="1"/>
  <c r="A14" i="1"/>
  <c r="S13" i="1"/>
  <c r="H13" i="1"/>
  <c r="N13" i="1" s="1"/>
  <c r="O13" i="1" s="1"/>
  <c r="F13" i="1"/>
  <c r="A13" i="1"/>
  <c r="S12" i="1"/>
  <c r="H12" i="1"/>
  <c r="N12" i="1" s="1"/>
  <c r="F12" i="1"/>
  <c r="A12" i="1"/>
  <c r="S11" i="1"/>
  <c r="H11" i="1"/>
  <c r="N11" i="1" s="1"/>
  <c r="F11" i="1"/>
  <c r="A11" i="1"/>
  <c r="S10" i="1"/>
  <c r="H10" i="1"/>
  <c r="N10" i="1" s="1"/>
  <c r="F10" i="1"/>
  <c r="O10" i="1" s="1"/>
  <c r="A10" i="1"/>
  <c r="S9" i="1"/>
  <c r="H9" i="1"/>
  <c r="N9" i="1" s="1"/>
  <c r="O9" i="1" s="1"/>
  <c r="F9" i="1"/>
  <c r="A9" i="1"/>
  <c r="S8" i="1"/>
  <c r="H8" i="1"/>
  <c r="N8" i="1" s="1"/>
  <c r="F8" i="1"/>
  <c r="A8" i="1"/>
  <c r="S7" i="1"/>
  <c r="H7" i="1"/>
  <c r="N7" i="1" s="1"/>
  <c r="F7" i="1"/>
  <c r="A7" i="1"/>
  <c r="S6" i="1"/>
  <c r="H6" i="1"/>
  <c r="N6" i="1" s="1"/>
  <c r="F6" i="1"/>
  <c r="A6" i="1"/>
  <c r="S5" i="1"/>
  <c r="H5" i="1"/>
  <c r="N5" i="1" s="1"/>
  <c r="O5" i="1" s="1"/>
  <c r="F5" i="1"/>
  <c r="A5" i="1"/>
  <c r="S4" i="1"/>
  <c r="H4" i="1"/>
  <c r="N4" i="1" s="1"/>
  <c r="F4" i="1"/>
  <c r="A4" i="1"/>
  <c r="S3" i="1"/>
  <c r="H3" i="1"/>
  <c r="N3" i="1" s="1"/>
  <c r="F3" i="1"/>
  <c r="A3" i="1"/>
  <c r="S2" i="1"/>
  <c r="S33" i="1" s="1"/>
  <c r="A1" i="1"/>
  <c r="O24" i="1" l="1"/>
  <c r="O32" i="1"/>
  <c r="O6" i="1"/>
  <c r="H33" i="1"/>
  <c r="K37" i="1"/>
  <c r="O8" i="1"/>
  <c r="O12" i="1"/>
  <c r="O14" i="1"/>
  <c r="O28" i="1"/>
  <c r="F33" i="1"/>
  <c r="O4" i="1"/>
  <c r="M34" i="1"/>
  <c r="O3" i="1"/>
  <c r="O7" i="1"/>
  <c r="O11" i="1"/>
  <c r="O18" i="1"/>
  <c r="O22" i="1"/>
  <c r="G34" i="1"/>
  <c r="J34" i="1"/>
  <c r="L37" i="1"/>
  <c r="K34" i="1"/>
  <c r="J35" i="1"/>
  <c r="L34" i="1"/>
  <c r="K35" i="1"/>
  <c r="N2" i="1"/>
  <c r="N33" i="1" s="1"/>
  <c r="O2" i="1" l="1"/>
  <c r="O33" i="1" s="1"/>
</calcChain>
</file>

<file path=xl/sharedStrings.xml><?xml version="1.0" encoding="utf-8"?>
<sst xmlns="http://schemas.openxmlformats.org/spreadsheetml/2006/main" count="27" uniqueCount="27">
  <si>
    <t>LCE GATEWATE</t>
  </si>
  <si>
    <t>Amex</t>
  </si>
  <si>
    <t>Doordash</t>
  </si>
  <si>
    <t>Grubhub</t>
  </si>
  <si>
    <t>Total</t>
  </si>
  <si>
    <t>Difference</t>
  </si>
  <si>
    <t>Date</t>
  </si>
  <si>
    <t>Expense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</si>
  <si>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</si>
  <si>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</si>
  <si>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</si>
  <si>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</si>
  <si>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</si>
  <si>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</si>
  <si>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</si>
  <si>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</si>
  <si>
    <t>TaxableSale</t>
  </si>
  <si>
    <t>ExemptSale</t>
  </si>
  <si>
    <t>SalesTax</t>
  </si>
  <si>
    <t>DeliveryTip</t>
  </si>
  <si>
    <t>GrandTotal</t>
  </si>
  <si>
    <t>CashSales</t>
  </si>
  <si>
    <t>WordPay</t>
  </si>
  <si>
    <t>Ubereats</t>
  </si>
  <si>
    <t>GiftCard</t>
  </si>
  <si>
    <t>Deposited CashCitizenBank</t>
  </si>
  <si>
    <t>ActualCashPlusMinus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</si>
</sst>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375623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17" fontId="1" fillId="2" borderId="1" xfId="0" applyNumberFormat="1" applyFont="1" applyFill="1" applyBorder="1" applyAlignment="1">
      <alignment horizontal="center" vertical="center" wrapText="1"/>
    </xf>
    <xf numFmtId="17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wrapText="1"/>
    </xf>
    <xf numFmtId="14" fontId="4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5" fontId="4" fillId="0" borderId="7" xfId="0" applyNumberFormat="1" applyFont="1" applyBorder="1" applyAlignment="1">
      <alignment horizontal="right"/>
    </xf>
    <xf numFmtId="164" fontId="4" fillId="3" borderId="7" xfId="0" applyNumberFormat="1" applyFont="1" applyFill="1" applyBorder="1" applyAlignment="1">
      <alignment horizontal="right"/>
    </xf>
    <xf numFmtId="165" fontId="4" fillId="3" borderId="8" xfId="0" applyNumberFormat="1" applyFont="1" applyFill="1" applyBorder="1" applyAlignment="1">
      <alignment horizontal="right"/>
    </xf>
    <xf numFmtId="14" fontId="4" fillId="0" borderId="7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65" fontId="5" fillId="3" borderId="8" xfId="0" applyNumberFormat="1" applyFont="1" applyFill="1" applyBorder="1" applyAlignment="1">
      <alignment horizontal="right"/>
    </xf>
    <xf numFmtId="165" fontId="4" fillId="5" borderId="7" xfId="0" applyNumberFormat="1" applyFont="1" applyFill="1" applyBorder="1" applyAlignment="1">
      <alignment horizontal="right"/>
    </xf>
    <xf numFmtId="165" fontId="4" fillId="0" borderId="9" xfId="0" applyNumberFormat="1" applyFont="1" applyBorder="1" applyAlignment="1">
      <alignment horizontal="right"/>
    </xf>
    <xf numFmtId="165" fontId="6" fillId="0" borderId="7" xfId="0" applyNumberFormat="1" applyFont="1" applyBorder="1" applyAlignment="1">
      <alignment horizontal="right"/>
    </xf>
    <xf numFmtId="165" fontId="4" fillId="0" borderId="10" xfId="0" applyNumberFormat="1" applyFont="1" applyBorder="1" applyAlignment="1">
      <alignment horizontal="right"/>
    </xf>
    <xf numFmtId="165" fontId="6" fillId="0" borderId="6" xfId="0" applyNumberFormat="1" applyFont="1" applyBorder="1" applyAlignment="1">
      <alignment horizontal="right"/>
    </xf>
    <xf numFmtId="14" fontId="4" fillId="0" borderId="9" xfId="0" applyNumberFormat="1" applyFont="1" applyBorder="1" applyAlignment="1">
      <alignment horizontal="right"/>
    </xf>
    <xf numFmtId="0" fontId="0" fillId="0" borderId="6" xfId="0" applyBorder="1"/>
    <xf numFmtId="165" fontId="4" fillId="0" borderId="11" xfId="0" applyNumberFormat="1" applyFont="1" applyBorder="1" applyAlignment="1">
      <alignment horizontal="right"/>
    </xf>
    <xf numFmtId="0" fontId="5" fillId="2" borderId="12" xfId="0" applyFont="1" applyFill="1" applyBorder="1" applyAlignment="1">
      <alignment horizontal="center"/>
    </xf>
    <xf numFmtId="165" fontId="5" fillId="2" borderId="13" xfId="0" applyNumberFormat="1" applyFont="1" applyFill="1" applyBorder="1" applyAlignment="1">
      <alignment horizontal="right"/>
    </xf>
    <xf numFmtId="165" fontId="5" fillId="3" borderId="13" xfId="0" applyNumberFormat="1" applyFont="1" applyFill="1" applyBorder="1" applyAlignment="1">
      <alignment horizontal="right"/>
    </xf>
    <xf numFmtId="165" fontId="0" fillId="0" borderId="0" xfId="0" applyNumberFormat="1"/>
    <xf numFmtId="16" fontId="0" fillId="0" borderId="0" xfId="0" applyNumberFormat="1"/>
    <xf numFmtId="0" fontId="0" fillId="0" borderId="0" xfId="0" applyAlignment="1">
      <alignment horizontal="left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5" fontId="0" fillId="6" borderId="15" xfId="0" applyNumberFormat="1" applyFill="1" applyBorder="1" applyAlignment="1">
      <alignment horizontal="center"/>
    </xf>
    <xf numFmtId="165" fontId="0" fillId="6" borderId="16" xfId="0" applyNumberForma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6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DE593-4DFF-4682-8774-E56485F13A5C}">
  <dimension ref="A1:S42"/>
  <sheetViews>
    <sheetView tabSelected="1" workbookViewId="0">
      <selection activeCell="D1" sqref="D1"/>
    </sheetView>
  </sheetViews>
  <sheetFormatPr defaultRowHeight="15" x14ac:dyDescent="0.25"/>
  <cols>
    <col min="1" max="1" width="10.42578125" bestFit="1" customWidth="1"/>
    <col min="2" max="3" width="10.5703125" bestFit="1" customWidth="1"/>
    <col min="4" max="4" width="9.85546875" bestFit="1" customWidth="1"/>
    <col min="6" max="6" width="12.42578125" bestFit="1" customWidth="1"/>
    <col min="7" max="8" width="10.85546875" bestFit="1" customWidth="1"/>
    <col min="10" max="10" width="10.85546875" bestFit="1" customWidth="1"/>
    <col min="12" max="12" width="9.85546875" bestFit="1" customWidth="1"/>
    <col min="14" max="14" width="12.42578125" bestFit="1" customWidth="1"/>
    <col min="16" max="16" width="10.85546875" bestFit="1" customWidth="1"/>
    <col min="17" max="17" width="10.42578125" bestFit="1" customWidth="1"/>
    <col min="19" max="19" width="10.5703125" bestFit="1" customWidth="1"/>
  </cols>
  <sheetData>
    <row r="1" spans="1:19" ht="48" thickBot="1" x14ac:dyDescent="0.3">
      <c r="A1" s="1">
        <f>'[1]Cash Variance'!A2</f>
        <v>45839</v>
      </c>
      <c r="B1" s="2" t="s">
        <v>16</v>
      </c>
      <c r="C1" s="2" t="s">
        <v>17</v>
      </c>
      <c r="D1" s="3" t="s">
        <v>18</v>
      </c>
      <c r="E1" s="3" t="s">
        <v>19</v>
      </c>
      <c r="F1" s="4" t="s">
        <v>20</v>
      </c>
      <c r="G1" s="3" t="s">
        <v>21</v>
      </c>
      <c r="H1" s="3" t="s">
        <v>22</v>
      </c>
      <c r="I1" s="3" t="s">
        <v>1</v>
      </c>
      <c r="J1" s="5" t="s">
        <v>2</v>
      </c>
      <c r="K1" s="5" t="s">
        <v>3</v>
      </c>
      <c r="L1" s="5" t="s">
        <v>23</v>
      </c>
      <c r="M1" s="3" t="s">
        <v>24</v>
      </c>
      <c r="N1" s="6" t="s">
        <v>4</v>
      </c>
      <c r="O1" s="6" t="s">
        <v>5</v>
      </c>
      <c r="P1" s="3" t="s">
        <v>25</v>
      </c>
      <c r="Q1" s="3" t="s">
        <v>6</v>
      </c>
      <c r="R1" s="3" t="s">
        <v>7</v>
      </c>
      <c r="S1" s="6" t="s">
        <v>26</v>
      </c>
    </row>
    <row r="2" spans="1:19" x14ac:dyDescent="0.25">
      <c r="A2" s="7">
        <f>'[1]Cash Variance'!A3</f>
        <v>45839</v>
      </c>
      <c r="B2" s="8">
        <v>2865.78</v>
      </c>
      <c r="C2" s="8">
        <v>1154.92</v>
      </c>
      <c r="D2" s="9">
        <v>172.33</v>
      </c>
      <c r="E2" s="9">
        <v>20.100000000000001</v>
      </c>
      <c r="F2" s="10">
        <f>SUM(B2:E2)</f>
        <v>4213.130000000001</v>
      </c>
      <c r="G2" s="9">
        <v>990.56</v>
      </c>
      <c r="H2" s="9">
        <f>2064.44-7.48</f>
        <v>2056.96</v>
      </c>
      <c r="I2" s="9">
        <v>12.17</v>
      </c>
      <c r="J2" s="9">
        <v>1030.5999999999999</v>
      </c>
      <c r="K2" s="9">
        <v>15.94</v>
      </c>
      <c r="L2" s="9">
        <v>106.9</v>
      </c>
      <c r="M2" s="9">
        <v>0</v>
      </c>
      <c r="N2" s="11">
        <f t="shared" ref="N2:N32" si="0">SUM(G2:M2)</f>
        <v>4213.1299999999992</v>
      </c>
      <c r="O2" s="11">
        <f t="shared" ref="O2:O32" si="1">+F2-N2</f>
        <v>0</v>
      </c>
      <c r="P2" s="9">
        <v>1000</v>
      </c>
      <c r="Q2" s="12">
        <v>45846</v>
      </c>
      <c r="R2" s="13"/>
      <c r="S2" s="14">
        <f>P2-G2-R2</f>
        <v>9.4400000000000546</v>
      </c>
    </row>
    <row r="3" spans="1:19" x14ac:dyDescent="0.25">
      <c r="A3" s="7">
        <f>'[1]Cash Variance'!A4</f>
        <v>45840</v>
      </c>
      <c r="B3" s="8">
        <v>3369.69</v>
      </c>
      <c r="C3" s="8">
        <v>1213.31</v>
      </c>
      <c r="D3" s="9">
        <v>202.6</v>
      </c>
      <c r="E3" s="9">
        <v>15.45</v>
      </c>
      <c r="F3" s="10">
        <f t="shared" ref="F3:F32" si="2">SUM(B3:E3)</f>
        <v>4801.05</v>
      </c>
      <c r="G3" s="9">
        <v>1108.26</v>
      </c>
      <c r="H3" s="9">
        <f>2488.88-13.7</f>
        <v>2475.1800000000003</v>
      </c>
      <c r="I3" s="9">
        <v>7.94</v>
      </c>
      <c r="J3" s="9">
        <v>956.07</v>
      </c>
      <c r="K3" s="9">
        <v>13.15</v>
      </c>
      <c r="L3" s="9">
        <v>240.45</v>
      </c>
      <c r="M3" s="9">
        <v>0</v>
      </c>
      <c r="N3" s="11">
        <f t="shared" si="0"/>
        <v>4801.05</v>
      </c>
      <c r="O3" s="11">
        <f t="shared" si="1"/>
        <v>0</v>
      </c>
      <c r="P3" s="9">
        <v>1110</v>
      </c>
      <c r="Q3" s="12">
        <v>45846</v>
      </c>
      <c r="R3" s="13"/>
      <c r="S3" s="14">
        <f t="shared" ref="S3:S32" si="3">P3-G3-R3</f>
        <v>1.7400000000000091</v>
      </c>
    </row>
    <row r="4" spans="1:19" x14ac:dyDescent="0.25">
      <c r="A4" s="7">
        <f>'[1]Cash Variance'!A5</f>
        <v>45841</v>
      </c>
      <c r="B4" s="8">
        <v>4182.54</v>
      </c>
      <c r="C4" s="8">
        <v>1045.3800000000001</v>
      </c>
      <c r="D4" s="9">
        <v>251.47</v>
      </c>
      <c r="E4" s="9">
        <v>66.489999999999995</v>
      </c>
      <c r="F4" s="10">
        <f t="shared" si="2"/>
        <v>5545.88</v>
      </c>
      <c r="G4" s="9">
        <v>1273.1199999999999</v>
      </c>
      <c r="H4" s="9">
        <f>3137.08-12.48</f>
        <v>3124.6</v>
      </c>
      <c r="I4" s="9">
        <v>103.75</v>
      </c>
      <c r="J4" s="9">
        <v>818.75</v>
      </c>
      <c r="K4" s="9">
        <v>10.15</v>
      </c>
      <c r="L4" s="9">
        <v>215.51</v>
      </c>
      <c r="M4" s="9">
        <v>0</v>
      </c>
      <c r="N4" s="11">
        <f t="shared" si="0"/>
        <v>5545.8799999999992</v>
      </c>
      <c r="O4" s="11">
        <f t="shared" si="1"/>
        <v>0</v>
      </c>
      <c r="P4" s="9">
        <v>1280</v>
      </c>
      <c r="Q4" s="12">
        <v>45846</v>
      </c>
      <c r="R4" s="13"/>
      <c r="S4" s="14">
        <f t="shared" si="3"/>
        <v>6.8800000000001091</v>
      </c>
    </row>
    <row r="5" spans="1:19" x14ac:dyDescent="0.25">
      <c r="A5" s="7">
        <f>'[1]Cash Variance'!A6</f>
        <v>45842</v>
      </c>
      <c r="B5" s="8">
        <v>3072.26</v>
      </c>
      <c r="C5" s="8">
        <v>968.97</v>
      </c>
      <c r="D5" s="9">
        <v>184.7</v>
      </c>
      <c r="E5" s="9">
        <v>22.37</v>
      </c>
      <c r="F5" s="10">
        <f t="shared" si="2"/>
        <v>4248.3</v>
      </c>
      <c r="G5" s="9">
        <v>1223.07</v>
      </c>
      <c r="H5" s="9">
        <f>2056.25-6.99</f>
        <v>2049.2600000000002</v>
      </c>
      <c r="I5" s="9">
        <v>0</v>
      </c>
      <c r="J5" s="9">
        <v>816.64</v>
      </c>
      <c r="K5" s="9">
        <v>14.74</v>
      </c>
      <c r="L5" s="9">
        <v>144.59</v>
      </c>
      <c r="M5" s="9">
        <v>0</v>
      </c>
      <c r="N5" s="11">
        <f t="shared" si="0"/>
        <v>4248.3</v>
      </c>
      <c r="O5" s="11">
        <f t="shared" si="1"/>
        <v>0</v>
      </c>
      <c r="P5" s="15">
        <v>1236</v>
      </c>
      <c r="Q5" s="12">
        <v>45846</v>
      </c>
      <c r="R5" s="13"/>
      <c r="S5" s="14">
        <f t="shared" si="3"/>
        <v>12.930000000000064</v>
      </c>
    </row>
    <row r="6" spans="1:19" x14ac:dyDescent="0.25">
      <c r="A6" s="7">
        <f>'[1]Cash Variance'!A7</f>
        <v>45843</v>
      </c>
      <c r="B6" s="8">
        <v>3628.91</v>
      </c>
      <c r="C6" s="8">
        <v>1115.1400000000001</v>
      </c>
      <c r="D6" s="9">
        <v>218.16</v>
      </c>
      <c r="E6" s="9">
        <v>26.87</v>
      </c>
      <c r="F6" s="10">
        <f t="shared" si="2"/>
        <v>4989.08</v>
      </c>
      <c r="G6" s="9">
        <v>1345.3</v>
      </c>
      <c r="H6" s="9">
        <f>2468.69-9.98</f>
        <v>2458.71</v>
      </c>
      <c r="I6" s="9">
        <v>71.41</v>
      </c>
      <c r="J6" s="9">
        <v>854.92</v>
      </c>
      <c r="K6" s="9">
        <v>0</v>
      </c>
      <c r="L6" s="9">
        <v>258.74</v>
      </c>
      <c r="M6" s="9">
        <v>0</v>
      </c>
      <c r="N6" s="11">
        <f t="shared" si="0"/>
        <v>4989.08</v>
      </c>
      <c r="O6" s="11">
        <f t="shared" si="1"/>
        <v>0</v>
      </c>
      <c r="P6" s="9">
        <v>1351</v>
      </c>
      <c r="Q6" s="12">
        <v>45846</v>
      </c>
      <c r="R6" s="13"/>
      <c r="S6" s="14">
        <f t="shared" si="3"/>
        <v>5.7000000000000455</v>
      </c>
    </row>
    <row r="7" spans="1:19" x14ac:dyDescent="0.25">
      <c r="A7" s="7">
        <f>'[1]Cash Variance'!A8</f>
        <v>45844</v>
      </c>
      <c r="B7" s="8">
        <v>4201.79</v>
      </c>
      <c r="C7" s="8">
        <v>975.83</v>
      </c>
      <c r="D7" s="9">
        <v>252.58</v>
      </c>
      <c r="E7" s="9">
        <v>35.57</v>
      </c>
      <c r="F7" s="10">
        <f t="shared" si="2"/>
        <v>5465.7699999999995</v>
      </c>
      <c r="G7" s="9">
        <v>1409.04</v>
      </c>
      <c r="H7" s="9">
        <f>3084.87-7.42</f>
        <v>3077.45</v>
      </c>
      <c r="I7" s="9">
        <v>7.94</v>
      </c>
      <c r="J7" s="9">
        <v>789.23</v>
      </c>
      <c r="K7" s="9">
        <v>17.72</v>
      </c>
      <c r="L7" s="9">
        <v>164.39</v>
      </c>
      <c r="M7" s="9">
        <v>0</v>
      </c>
      <c r="N7" s="11">
        <f t="shared" si="0"/>
        <v>5465.77</v>
      </c>
      <c r="O7" s="11">
        <f t="shared" si="1"/>
        <v>0</v>
      </c>
      <c r="P7" s="9">
        <v>1410</v>
      </c>
      <c r="Q7" s="12">
        <v>45846</v>
      </c>
      <c r="R7" s="13"/>
      <c r="S7" s="14">
        <f t="shared" si="3"/>
        <v>0.96000000000003638</v>
      </c>
    </row>
    <row r="8" spans="1:19" x14ac:dyDescent="0.25">
      <c r="A8" s="7">
        <f>'[1]Cash Variance'!A9</f>
        <v>45845</v>
      </c>
      <c r="B8" s="8">
        <v>2023.14</v>
      </c>
      <c r="C8" s="8">
        <v>826.84</v>
      </c>
      <c r="D8" s="9">
        <v>121.65</v>
      </c>
      <c r="E8" s="9">
        <v>17.96</v>
      </c>
      <c r="F8" s="10">
        <f t="shared" si="2"/>
        <v>2989.59</v>
      </c>
      <c r="G8" s="9">
        <v>747.13</v>
      </c>
      <c r="H8" s="9">
        <f>1418.08-4.96</f>
        <v>1413.12</v>
      </c>
      <c r="I8" s="9">
        <v>0</v>
      </c>
      <c r="J8" s="9">
        <v>742.55</v>
      </c>
      <c r="K8" s="9">
        <v>13.13</v>
      </c>
      <c r="L8" s="9">
        <v>73.66</v>
      </c>
      <c r="M8" s="9">
        <v>0</v>
      </c>
      <c r="N8" s="11">
        <f t="shared" si="0"/>
        <v>2989.59</v>
      </c>
      <c r="O8" s="11">
        <f t="shared" si="1"/>
        <v>0</v>
      </c>
      <c r="P8" s="9">
        <v>750</v>
      </c>
      <c r="Q8" s="12">
        <v>45853</v>
      </c>
      <c r="R8" s="13"/>
      <c r="S8" s="14">
        <f t="shared" si="3"/>
        <v>2.8700000000000045</v>
      </c>
    </row>
    <row r="9" spans="1:19" x14ac:dyDescent="0.25">
      <c r="A9" s="7">
        <f>'[1]Cash Variance'!A10</f>
        <v>45846</v>
      </c>
      <c r="B9" s="8">
        <v>2930.26</v>
      </c>
      <c r="C9" s="8">
        <v>645.37</v>
      </c>
      <c r="D9" s="16">
        <v>176.12</v>
      </c>
      <c r="E9" s="9">
        <v>27.13</v>
      </c>
      <c r="F9" s="10">
        <f t="shared" si="2"/>
        <v>3778.88</v>
      </c>
      <c r="G9" s="9">
        <v>1076.27</v>
      </c>
      <c r="H9" s="9">
        <f>2058.17-7.39</f>
        <v>2050.7800000000002</v>
      </c>
      <c r="I9" s="9">
        <v>7.94</v>
      </c>
      <c r="J9" s="9">
        <v>551.83000000000004</v>
      </c>
      <c r="K9" s="9">
        <v>0</v>
      </c>
      <c r="L9" s="9">
        <v>92.06</v>
      </c>
      <c r="M9" s="9">
        <v>0</v>
      </c>
      <c r="N9" s="11">
        <f t="shared" si="0"/>
        <v>3778.88</v>
      </c>
      <c r="O9" s="11">
        <f t="shared" si="1"/>
        <v>0</v>
      </c>
      <c r="P9" s="9">
        <v>1039</v>
      </c>
      <c r="Q9" s="12">
        <v>45853</v>
      </c>
      <c r="R9" s="13"/>
      <c r="S9" s="14">
        <f t="shared" si="3"/>
        <v>-37.269999999999982</v>
      </c>
    </row>
    <row r="10" spans="1:19" x14ac:dyDescent="0.25">
      <c r="A10" s="7">
        <f>'[1]Cash Variance'!A11</f>
        <v>45847</v>
      </c>
      <c r="B10" s="8">
        <v>2916.96</v>
      </c>
      <c r="C10" s="8">
        <v>924.42</v>
      </c>
      <c r="D10" s="16">
        <v>175.43</v>
      </c>
      <c r="E10" s="9">
        <v>32.78</v>
      </c>
      <c r="F10" s="10">
        <f t="shared" si="2"/>
        <v>4049.59</v>
      </c>
      <c r="G10" s="9">
        <v>829.58</v>
      </c>
      <c r="H10" s="9">
        <f>2299.99-2.41</f>
        <v>2297.58</v>
      </c>
      <c r="I10" s="9">
        <v>0</v>
      </c>
      <c r="J10" s="9">
        <v>734.6</v>
      </c>
      <c r="K10" s="9">
        <v>0</v>
      </c>
      <c r="L10" s="9">
        <v>187.83</v>
      </c>
      <c r="M10" s="9">
        <v>0</v>
      </c>
      <c r="N10" s="11">
        <f t="shared" si="0"/>
        <v>4049.5899999999997</v>
      </c>
      <c r="O10" s="11">
        <f t="shared" si="1"/>
        <v>0</v>
      </c>
      <c r="P10" s="9">
        <v>836</v>
      </c>
      <c r="Q10" s="12">
        <v>45853</v>
      </c>
      <c r="R10" s="13"/>
      <c r="S10" s="14">
        <f t="shared" si="3"/>
        <v>6.4199999999999591</v>
      </c>
    </row>
    <row r="11" spans="1:19" x14ac:dyDescent="0.25">
      <c r="A11" s="7">
        <f>'[1]Cash Variance'!A12</f>
        <v>45848</v>
      </c>
      <c r="B11" s="8">
        <v>2773.29</v>
      </c>
      <c r="C11" s="8">
        <v>695.89</v>
      </c>
      <c r="D11" s="9">
        <v>166.77</v>
      </c>
      <c r="E11" s="9">
        <v>31.28</v>
      </c>
      <c r="F11" s="10">
        <f t="shared" si="2"/>
        <v>3667.23</v>
      </c>
      <c r="G11" s="9">
        <v>781.62</v>
      </c>
      <c r="H11" s="9">
        <f>2210.58-7.39</f>
        <v>2203.19</v>
      </c>
      <c r="I11" s="9">
        <v>0</v>
      </c>
      <c r="J11" s="9">
        <v>599.25</v>
      </c>
      <c r="K11" s="9">
        <v>0</v>
      </c>
      <c r="L11" s="9">
        <v>83.17</v>
      </c>
      <c r="M11" s="9">
        <v>0</v>
      </c>
      <c r="N11" s="11">
        <f t="shared" si="0"/>
        <v>3667.23</v>
      </c>
      <c r="O11" s="11">
        <f t="shared" si="1"/>
        <v>0</v>
      </c>
      <c r="P11" s="9">
        <v>806</v>
      </c>
      <c r="Q11" s="12">
        <v>45853</v>
      </c>
      <c r="R11" s="13"/>
      <c r="S11" s="14">
        <f t="shared" si="3"/>
        <v>24.379999999999995</v>
      </c>
    </row>
    <row r="12" spans="1:19" x14ac:dyDescent="0.25">
      <c r="A12" s="7">
        <f>'[1]Cash Variance'!A13</f>
        <v>45849</v>
      </c>
      <c r="B12" s="8">
        <v>3798.27</v>
      </c>
      <c r="C12" s="8">
        <v>952.43</v>
      </c>
      <c r="D12" s="9">
        <v>228.36</v>
      </c>
      <c r="E12" s="9">
        <v>44.36</v>
      </c>
      <c r="F12" s="10">
        <f t="shared" si="2"/>
        <v>5023.4199999999992</v>
      </c>
      <c r="G12" s="9">
        <v>1133.97</v>
      </c>
      <c r="H12" s="9">
        <f>2935.66-13.92</f>
        <v>2921.74</v>
      </c>
      <c r="I12" s="9">
        <v>7.94</v>
      </c>
      <c r="J12" s="9">
        <v>664.65</v>
      </c>
      <c r="K12" s="9">
        <v>15.33</v>
      </c>
      <c r="L12" s="9">
        <v>279.79000000000002</v>
      </c>
      <c r="M12" s="9">
        <v>0</v>
      </c>
      <c r="N12" s="11">
        <f t="shared" si="0"/>
        <v>5023.42</v>
      </c>
      <c r="O12" s="11">
        <f t="shared" si="1"/>
        <v>0</v>
      </c>
      <c r="P12" s="9">
        <v>1140</v>
      </c>
      <c r="Q12" s="12">
        <v>45853</v>
      </c>
      <c r="R12" s="13"/>
      <c r="S12" s="14">
        <f t="shared" si="3"/>
        <v>6.0299999999999727</v>
      </c>
    </row>
    <row r="13" spans="1:19" x14ac:dyDescent="0.25">
      <c r="A13" s="7">
        <f>'[1]Cash Variance'!A14</f>
        <v>45850</v>
      </c>
      <c r="B13" s="8">
        <v>3830.23</v>
      </c>
      <c r="C13" s="8">
        <v>1454.69</v>
      </c>
      <c r="D13" s="9">
        <v>230.24</v>
      </c>
      <c r="E13" s="9">
        <v>42.56</v>
      </c>
      <c r="F13" s="10">
        <f t="shared" si="2"/>
        <v>5557.72</v>
      </c>
      <c r="G13" s="9">
        <v>1222.5999999999999</v>
      </c>
      <c r="H13" s="9">
        <f>2882.22-19.93</f>
        <v>2862.29</v>
      </c>
      <c r="I13" s="9">
        <v>7.94</v>
      </c>
      <c r="J13" s="9">
        <v>1290.67</v>
      </c>
      <c r="K13" s="9">
        <v>0</v>
      </c>
      <c r="L13" s="9">
        <v>174.22</v>
      </c>
      <c r="M13" s="9">
        <v>0</v>
      </c>
      <c r="N13" s="11">
        <f t="shared" si="0"/>
        <v>5557.72</v>
      </c>
      <c r="O13" s="11">
        <f t="shared" si="1"/>
        <v>0</v>
      </c>
      <c r="P13" s="9">
        <v>1244</v>
      </c>
      <c r="Q13" s="12">
        <v>45853</v>
      </c>
      <c r="R13" s="13"/>
      <c r="S13" s="14">
        <f t="shared" si="3"/>
        <v>21.400000000000091</v>
      </c>
    </row>
    <row r="14" spans="1:19" x14ac:dyDescent="0.25">
      <c r="A14" s="7">
        <f>'[1]Cash Variance'!A15</f>
        <v>45851</v>
      </c>
      <c r="B14" s="8">
        <v>3402.85</v>
      </c>
      <c r="C14" s="8">
        <v>955.95</v>
      </c>
      <c r="D14" s="9">
        <v>204.55</v>
      </c>
      <c r="E14" s="9">
        <v>39.6</v>
      </c>
      <c r="F14" s="10">
        <f t="shared" si="2"/>
        <v>4602.9500000000007</v>
      </c>
      <c r="G14" s="9">
        <v>997.01</v>
      </c>
      <c r="H14" s="9">
        <f>2585.65-13.29</f>
        <v>2572.36</v>
      </c>
      <c r="I14" s="9">
        <v>66.8</v>
      </c>
      <c r="J14" s="9">
        <v>797.19</v>
      </c>
      <c r="K14" s="9">
        <v>0</v>
      </c>
      <c r="L14" s="9">
        <v>169.59</v>
      </c>
      <c r="M14" s="9">
        <v>0</v>
      </c>
      <c r="N14" s="11">
        <f t="shared" si="0"/>
        <v>4602.9500000000007</v>
      </c>
      <c r="O14" s="11">
        <f t="shared" si="1"/>
        <v>0</v>
      </c>
      <c r="P14" s="9">
        <v>996</v>
      </c>
      <c r="Q14" s="12">
        <v>45853</v>
      </c>
      <c r="R14" s="13"/>
      <c r="S14" s="14">
        <f t="shared" si="3"/>
        <v>-1.0099999999999909</v>
      </c>
    </row>
    <row r="15" spans="1:19" x14ac:dyDescent="0.25">
      <c r="A15" s="7">
        <f>'[1]Cash Variance'!A16</f>
        <v>45852</v>
      </c>
      <c r="B15" s="8">
        <v>2260.12</v>
      </c>
      <c r="C15" s="8">
        <v>815.78</v>
      </c>
      <c r="D15" s="9">
        <v>135.88</v>
      </c>
      <c r="E15" s="9">
        <v>9.33</v>
      </c>
      <c r="F15" s="10">
        <f t="shared" si="2"/>
        <v>3221.1099999999997</v>
      </c>
      <c r="G15" s="9">
        <v>854.22</v>
      </c>
      <c r="H15" s="9">
        <f>1552.63-5.95</f>
        <v>1546.68</v>
      </c>
      <c r="I15" s="9">
        <v>16.940000000000001</v>
      </c>
      <c r="J15" s="9">
        <v>589.15</v>
      </c>
      <c r="K15" s="9">
        <v>0</v>
      </c>
      <c r="L15" s="9">
        <v>214.12</v>
      </c>
      <c r="M15" s="9">
        <v>0</v>
      </c>
      <c r="N15" s="11">
        <f t="shared" si="0"/>
        <v>3221.11</v>
      </c>
      <c r="O15" s="11">
        <f t="shared" si="1"/>
        <v>0</v>
      </c>
      <c r="P15" s="15">
        <v>810</v>
      </c>
      <c r="Q15" s="12">
        <v>45861</v>
      </c>
      <c r="R15" s="13"/>
      <c r="S15" s="14">
        <f t="shared" si="3"/>
        <v>-44.220000000000027</v>
      </c>
    </row>
    <row r="16" spans="1:19" x14ac:dyDescent="0.25">
      <c r="A16" s="7">
        <f>'[1]Cash Variance'!A17</f>
        <v>45853</v>
      </c>
      <c r="B16" s="8">
        <v>2271.48</v>
      </c>
      <c r="C16" s="8">
        <v>644.04999999999995</v>
      </c>
      <c r="D16" s="9">
        <v>136.53</v>
      </c>
      <c r="E16" s="9">
        <v>24.61</v>
      </c>
      <c r="F16" s="10">
        <f t="shared" si="2"/>
        <v>3076.67</v>
      </c>
      <c r="G16" s="9">
        <v>686.95</v>
      </c>
      <c r="H16" s="9">
        <f>1750.16-2</f>
        <v>1748.16</v>
      </c>
      <c r="I16" s="9">
        <v>0</v>
      </c>
      <c r="J16" s="9">
        <v>559.49</v>
      </c>
      <c r="K16" s="9">
        <v>14.32</v>
      </c>
      <c r="L16" s="9">
        <v>67.75</v>
      </c>
      <c r="M16" s="9">
        <v>0</v>
      </c>
      <c r="N16" s="11">
        <f t="shared" si="0"/>
        <v>3076.6700000000005</v>
      </c>
      <c r="O16" s="11">
        <f t="shared" si="1"/>
        <v>0</v>
      </c>
      <c r="P16" s="15">
        <v>670</v>
      </c>
      <c r="Q16" s="12">
        <v>45861</v>
      </c>
      <c r="R16" s="13"/>
      <c r="S16" s="14">
        <f t="shared" si="3"/>
        <v>-16.950000000000045</v>
      </c>
    </row>
    <row r="17" spans="1:19" x14ac:dyDescent="0.25">
      <c r="A17" s="7">
        <f>'[1]Cash Variance'!A18</f>
        <v>45854</v>
      </c>
      <c r="B17" s="8">
        <v>2264.8200000000002</v>
      </c>
      <c r="C17" s="8">
        <v>740</v>
      </c>
      <c r="D17" s="9">
        <v>136.15</v>
      </c>
      <c r="E17" s="9">
        <v>14.46</v>
      </c>
      <c r="F17" s="10">
        <f t="shared" si="2"/>
        <v>3155.4300000000003</v>
      </c>
      <c r="G17" s="9">
        <v>807.51</v>
      </c>
      <c r="H17" s="9">
        <f>671.25-4.48+942.44</f>
        <v>1609.21</v>
      </c>
      <c r="I17" s="9">
        <v>0</v>
      </c>
      <c r="J17" s="9">
        <v>653.96</v>
      </c>
      <c r="K17" s="9">
        <v>0</v>
      </c>
      <c r="L17" s="9">
        <v>84.75</v>
      </c>
      <c r="M17" s="9">
        <v>0</v>
      </c>
      <c r="N17" s="11">
        <f t="shared" si="0"/>
        <v>3155.4300000000003</v>
      </c>
      <c r="O17" s="11">
        <f t="shared" si="1"/>
        <v>0</v>
      </c>
      <c r="P17" s="15">
        <v>86</v>
      </c>
      <c r="Q17" s="12">
        <v>45861</v>
      </c>
      <c r="R17" s="13"/>
      <c r="S17" s="14">
        <f t="shared" si="3"/>
        <v>-721.51</v>
      </c>
    </row>
    <row r="18" spans="1:19" x14ac:dyDescent="0.25">
      <c r="A18" s="7">
        <f>'[1]Cash Variance'!A19</f>
        <v>45855</v>
      </c>
      <c r="B18" s="8">
        <v>3110.9</v>
      </c>
      <c r="C18" s="8">
        <v>982.25</v>
      </c>
      <c r="D18" s="9">
        <v>187.03</v>
      </c>
      <c r="E18" s="9">
        <v>14.63</v>
      </c>
      <c r="F18" s="10">
        <f t="shared" si="2"/>
        <v>4294.8100000000004</v>
      </c>
      <c r="G18" s="9">
        <v>938.04</v>
      </c>
      <c r="H18" s="9">
        <f>2387.99-8.78</f>
        <v>2379.2099999999996</v>
      </c>
      <c r="I18" s="9">
        <v>0</v>
      </c>
      <c r="J18" s="9">
        <v>863.44</v>
      </c>
      <c r="K18" s="9">
        <v>0</v>
      </c>
      <c r="L18" s="9">
        <v>114.12</v>
      </c>
      <c r="M18" s="9">
        <v>0</v>
      </c>
      <c r="N18" s="11">
        <f t="shared" si="0"/>
        <v>4294.8099999999995</v>
      </c>
      <c r="O18" s="11">
        <f t="shared" si="1"/>
        <v>0</v>
      </c>
      <c r="P18" s="9">
        <v>955</v>
      </c>
      <c r="Q18" s="12">
        <v>45861</v>
      </c>
      <c r="R18" s="13"/>
      <c r="S18" s="14">
        <f t="shared" si="3"/>
        <v>16.960000000000036</v>
      </c>
    </row>
    <row r="19" spans="1:19" x14ac:dyDescent="0.25">
      <c r="A19" s="7">
        <f>'[1]Cash Variance'!A20</f>
        <v>45856</v>
      </c>
      <c r="B19" s="8">
        <v>3749.09</v>
      </c>
      <c r="C19" s="8">
        <v>1360.43</v>
      </c>
      <c r="D19" s="9">
        <v>225.42</v>
      </c>
      <c r="E19" s="9">
        <v>37.520000000000003</v>
      </c>
      <c r="F19" s="10">
        <f t="shared" si="2"/>
        <v>5372.4600000000009</v>
      </c>
      <c r="G19" s="9">
        <v>1189.77</v>
      </c>
      <c r="H19" s="9">
        <f>2822.24-19.98</f>
        <v>2802.2599999999998</v>
      </c>
      <c r="I19" s="9">
        <v>0</v>
      </c>
      <c r="J19" s="9">
        <v>985.59</v>
      </c>
      <c r="K19" s="9">
        <v>12.96</v>
      </c>
      <c r="L19" s="9">
        <v>381.88</v>
      </c>
      <c r="M19" s="9">
        <v>0</v>
      </c>
      <c r="N19" s="11">
        <f t="shared" si="0"/>
        <v>5372.46</v>
      </c>
      <c r="O19" s="11">
        <f t="shared" si="1"/>
        <v>0</v>
      </c>
      <c r="P19" s="17">
        <v>1190</v>
      </c>
      <c r="Q19" s="12">
        <v>45861</v>
      </c>
      <c r="R19" s="13"/>
      <c r="S19" s="14">
        <f t="shared" si="3"/>
        <v>0.23000000000001819</v>
      </c>
    </row>
    <row r="20" spans="1:19" x14ac:dyDescent="0.25">
      <c r="A20" s="7">
        <f>'[1]Cash Variance'!A21</f>
        <v>45857</v>
      </c>
      <c r="B20" s="8">
        <v>3644.71</v>
      </c>
      <c r="C20" s="8">
        <v>1213.6300000000001</v>
      </c>
      <c r="D20" s="9">
        <v>219.09</v>
      </c>
      <c r="E20" s="9">
        <v>37.39</v>
      </c>
      <c r="F20" s="10">
        <f t="shared" si="2"/>
        <v>5114.8200000000006</v>
      </c>
      <c r="G20" s="9">
        <v>850.84</v>
      </c>
      <c r="H20" s="9">
        <v>3024.9</v>
      </c>
      <c r="I20" s="9">
        <v>34.409999999999997</v>
      </c>
      <c r="J20" s="9">
        <v>1052.1600000000001</v>
      </c>
      <c r="K20" s="9">
        <v>23.66</v>
      </c>
      <c r="L20" s="9">
        <v>128.83000000000001</v>
      </c>
      <c r="M20" s="9">
        <v>0</v>
      </c>
      <c r="N20" s="11">
        <f t="shared" si="0"/>
        <v>5114.8</v>
      </c>
      <c r="O20" s="11">
        <f t="shared" si="1"/>
        <v>2.0000000000436557E-2</v>
      </c>
      <c r="P20" s="15">
        <v>850</v>
      </c>
      <c r="Q20" s="12">
        <v>45861</v>
      </c>
      <c r="R20" s="13"/>
      <c r="S20" s="14">
        <f t="shared" si="3"/>
        <v>-0.84000000000003183</v>
      </c>
    </row>
    <row r="21" spans="1:19" x14ac:dyDescent="0.25">
      <c r="A21" s="7">
        <f>'[1]Cash Variance'!A22</f>
        <v>45858</v>
      </c>
      <c r="B21" s="8">
        <v>3257.17</v>
      </c>
      <c r="C21" s="8">
        <v>1089.43</v>
      </c>
      <c r="D21" s="9">
        <v>195.87</v>
      </c>
      <c r="E21" s="9">
        <v>33.6</v>
      </c>
      <c r="F21" s="10">
        <f t="shared" si="2"/>
        <v>4576.0700000000006</v>
      </c>
      <c r="G21" s="9">
        <v>967.89</v>
      </c>
      <c r="H21" s="9">
        <v>2533.4899999999998</v>
      </c>
      <c r="I21" s="9">
        <v>12.7</v>
      </c>
      <c r="J21" s="9">
        <v>916.67</v>
      </c>
      <c r="K21" s="9">
        <v>15.51</v>
      </c>
      <c r="L21" s="9">
        <v>129.80000000000001</v>
      </c>
      <c r="M21" s="9">
        <v>0</v>
      </c>
      <c r="N21" s="11">
        <f t="shared" si="0"/>
        <v>4576.0599999999995</v>
      </c>
      <c r="O21" s="11">
        <f t="shared" si="1"/>
        <v>1.0000000001127773E-2</v>
      </c>
      <c r="P21" s="18">
        <v>970</v>
      </c>
      <c r="Q21" s="12">
        <v>45861</v>
      </c>
      <c r="R21" s="13"/>
      <c r="S21" s="14">
        <f t="shared" si="3"/>
        <v>2.1100000000000136</v>
      </c>
    </row>
    <row r="22" spans="1:19" x14ac:dyDescent="0.25">
      <c r="A22" s="7">
        <f>'[1]Cash Variance'!A23</f>
        <v>45859</v>
      </c>
      <c r="B22" s="8">
        <v>2315.19</v>
      </c>
      <c r="C22" s="8">
        <v>838.6</v>
      </c>
      <c r="D22" s="9">
        <v>139.22</v>
      </c>
      <c r="E22" s="9">
        <v>7.86</v>
      </c>
      <c r="F22" s="10">
        <f t="shared" si="2"/>
        <v>3300.87</v>
      </c>
      <c r="G22" s="9">
        <v>668.73</v>
      </c>
      <c r="H22" s="9">
        <v>1802.5</v>
      </c>
      <c r="I22" s="9">
        <v>0</v>
      </c>
      <c r="J22" s="9">
        <v>737.31</v>
      </c>
      <c r="K22" s="9">
        <v>14.32</v>
      </c>
      <c r="L22" s="9">
        <v>77.989999999999995</v>
      </c>
      <c r="M22" s="9">
        <v>0</v>
      </c>
      <c r="N22" s="11">
        <f t="shared" si="0"/>
        <v>3300.85</v>
      </c>
      <c r="O22" s="11">
        <f t="shared" si="1"/>
        <v>1.999999999998181E-2</v>
      </c>
      <c r="P22" s="19">
        <v>708</v>
      </c>
      <c r="Q22" s="20">
        <v>45861</v>
      </c>
      <c r="R22" s="13"/>
      <c r="S22" s="14">
        <f t="shared" si="3"/>
        <v>39.269999999999982</v>
      </c>
    </row>
    <row r="23" spans="1:19" x14ac:dyDescent="0.25">
      <c r="A23" s="7">
        <f>'[1]Cash Variance'!A24</f>
        <v>45860</v>
      </c>
      <c r="B23" s="8">
        <v>2334.64</v>
      </c>
      <c r="C23" s="8">
        <v>1036.8399999999999</v>
      </c>
      <c r="D23" s="9">
        <v>140.41</v>
      </c>
      <c r="E23" s="9">
        <v>9.23</v>
      </c>
      <c r="F23" s="10">
        <f t="shared" si="2"/>
        <v>3521.1199999999994</v>
      </c>
      <c r="G23" s="9">
        <v>682.45</v>
      </c>
      <c r="H23" s="9">
        <v>1813.81</v>
      </c>
      <c r="I23" s="9">
        <v>0</v>
      </c>
      <c r="J23" s="9">
        <v>781.7</v>
      </c>
      <c r="K23" s="9">
        <v>28.65</v>
      </c>
      <c r="L23" s="9">
        <v>214.5</v>
      </c>
      <c r="M23" s="9">
        <v>0</v>
      </c>
      <c r="N23" s="11">
        <f t="shared" si="0"/>
        <v>3521.11</v>
      </c>
      <c r="O23" s="11">
        <f t="shared" si="1"/>
        <v>9.999999999308784E-3</v>
      </c>
      <c r="P23" s="21">
        <v>683</v>
      </c>
      <c r="Q23" s="20">
        <v>45868</v>
      </c>
      <c r="R23" s="13"/>
      <c r="S23" s="14">
        <f t="shared" si="3"/>
        <v>0.54999999999995453</v>
      </c>
    </row>
    <row r="24" spans="1:19" x14ac:dyDescent="0.25">
      <c r="A24" s="7">
        <f>'[1]Cash Variance'!A25</f>
        <v>45861</v>
      </c>
      <c r="B24" s="8">
        <v>2755.07</v>
      </c>
      <c r="C24" s="8">
        <v>1024.03</v>
      </c>
      <c r="D24" s="9">
        <v>165.6</v>
      </c>
      <c r="E24" s="9">
        <v>27.18</v>
      </c>
      <c r="F24" s="10">
        <f t="shared" si="2"/>
        <v>3971.88</v>
      </c>
      <c r="G24" s="9">
        <v>719.81</v>
      </c>
      <c r="H24" s="9">
        <v>2232.5</v>
      </c>
      <c r="I24" s="9">
        <v>0</v>
      </c>
      <c r="J24" s="9">
        <v>950.64</v>
      </c>
      <c r="K24" s="9">
        <v>19.7</v>
      </c>
      <c r="L24" s="9">
        <v>49.2</v>
      </c>
      <c r="M24" s="9">
        <v>0</v>
      </c>
      <c r="N24" s="11">
        <f t="shared" si="0"/>
        <v>3971.8499999999995</v>
      </c>
      <c r="O24" s="11">
        <f t="shared" si="1"/>
        <v>3.0000000000654836E-2</v>
      </c>
      <c r="P24" s="21">
        <v>720</v>
      </c>
      <c r="Q24" s="20">
        <v>45868</v>
      </c>
      <c r="R24" s="13"/>
      <c r="S24" s="14">
        <f t="shared" si="3"/>
        <v>0.19000000000005457</v>
      </c>
    </row>
    <row r="25" spans="1:19" x14ac:dyDescent="0.25">
      <c r="A25" s="7">
        <f>'[1]Cash Variance'!A26</f>
        <v>45862</v>
      </c>
      <c r="B25" s="8">
        <v>2784.9</v>
      </c>
      <c r="C25" s="8">
        <v>985.83</v>
      </c>
      <c r="D25" s="9">
        <v>167.47</v>
      </c>
      <c r="E25" s="9">
        <v>27.49</v>
      </c>
      <c r="F25" s="10">
        <f t="shared" si="2"/>
        <v>3965.6899999999996</v>
      </c>
      <c r="G25" s="9">
        <v>757.82</v>
      </c>
      <c r="H25" s="9">
        <v>2109.62</v>
      </c>
      <c r="I25" s="9">
        <v>106.41</v>
      </c>
      <c r="J25" s="9">
        <v>727.83</v>
      </c>
      <c r="K25" s="9">
        <v>0</v>
      </c>
      <c r="L25" s="9">
        <v>253.51</v>
      </c>
      <c r="M25" s="9">
        <v>10.5</v>
      </c>
      <c r="N25" s="11">
        <f t="shared" si="0"/>
        <v>3965.6899999999996</v>
      </c>
      <c r="O25" s="11">
        <f t="shared" si="1"/>
        <v>0</v>
      </c>
      <c r="P25" s="21">
        <v>758</v>
      </c>
      <c r="Q25" s="20">
        <v>45868</v>
      </c>
      <c r="R25" s="13"/>
      <c r="S25" s="14">
        <f t="shared" si="3"/>
        <v>0.17999999999994998</v>
      </c>
    </row>
    <row r="26" spans="1:19" x14ac:dyDescent="0.25">
      <c r="A26" s="7">
        <f>'[1]Cash Variance'!A27</f>
        <v>45863</v>
      </c>
      <c r="B26" s="9">
        <v>4146.71</v>
      </c>
      <c r="C26" s="9">
        <v>1271.58</v>
      </c>
      <c r="D26" s="9">
        <v>249.32</v>
      </c>
      <c r="E26" s="9">
        <v>34.840000000000003</v>
      </c>
      <c r="F26" s="10">
        <f>SUM(B26:E26)</f>
        <v>5702.45</v>
      </c>
      <c r="G26" s="9">
        <v>1126.8900000000001</v>
      </c>
      <c r="H26" s="9">
        <v>3284.81</v>
      </c>
      <c r="I26" s="9">
        <v>46.59</v>
      </c>
      <c r="J26" s="9">
        <v>986.66</v>
      </c>
      <c r="K26" s="9">
        <v>0</v>
      </c>
      <c r="L26" s="9">
        <v>257.47000000000003</v>
      </c>
      <c r="M26" s="9">
        <v>0</v>
      </c>
      <c r="N26" s="11">
        <f t="shared" si="0"/>
        <v>5702.42</v>
      </c>
      <c r="O26" s="11">
        <f t="shared" si="1"/>
        <v>2.9999999999745341E-2</v>
      </c>
      <c r="P26" s="21">
        <v>1127</v>
      </c>
      <c r="Q26" s="20">
        <v>45868</v>
      </c>
      <c r="R26" s="13"/>
      <c r="S26" s="14">
        <f t="shared" si="3"/>
        <v>0.10999999999989996</v>
      </c>
    </row>
    <row r="27" spans="1:19" x14ac:dyDescent="0.25">
      <c r="A27" s="7">
        <f>'[1]Cash Variance'!A28</f>
        <v>45864</v>
      </c>
      <c r="B27" s="8">
        <v>3326.76</v>
      </c>
      <c r="C27" s="8">
        <v>1043.55</v>
      </c>
      <c r="D27" s="9">
        <v>199.98</v>
      </c>
      <c r="E27" s="9">
        <v>18.989999999999998</v>
      </c>
      <c r="F27" s="10">
        <f t="shared" si="2"/>
        <v>4589.28</v>
      </c>
      <c r="G27" s="9">
        <v>1063.82</v>
      </c>
      <c r="H27" s="9">
        <v>2476.83</v>
      </c>
      <c r="I27" s="9">
        <v>0</v>
      </c>
      <c r="J27" s="9">
        <v>934.13</v>
      </c>
      <c r="K27" s="9">
        <v>15.94</v>
      </c>
      <c r="L27" s="9">
        <v>88.99</v>
      </c>
      <c r="M27" s="9">
        <v>9.5299999999999994</v>
      </c>
      <c r="N27" s="11">
        <f t="shared" si="0"/>
        <v>4589.2399999999989</v>
      </c>
      <c r="O27" s="11">
        <f t="shared" si="1"/>
        <v>4.0000000000873115E-2</v>
      </c>
      <c r="P27" s="21">
        <v>1065</v>
      </c>
      <c r="Q27" s="20">
        <v>45868</v>
      </c>
      <c r="R27" s="13"/>
      <c r="S27" s="14">
        <f t="shared" si="3"/>
        <v>1.1800000000000637</v>
      </c>
    </row>
    <row r="28" spans="1:19" x14ac:dyDescent="0.25">
      <c r="A28" s="7">
        <f>'[1]Cash Variance'!A29</f>
        <v>45865</v>
      </c>
      <c r="B28" s="8">
        <v>2883.09</v>
      </c>
      <c r="C28" s="8">
        <v>1158.99</v>
      </c>
      <c r="D28" s="9">
        <v>173.36</v>
      </c>
      <c r="E28" s="9">
        <v>18.2</v>
      </c>
      <c r="F28" s="10">
        <f t="shared" si="2"/>
        <v>4233.6399999999994</v>
      </c>
      <c r="G28" s="9">
        <v>713.81</v>
      </c>
      <c r="H28" s="9">
        <v>2360.84</v>
      </c>
      <c r="I28" s="9">
        <v>0</v>
      </c>
      <c r="J28" s="9">
        <v>798.22</v>
      </c>
      <c r="K28" s="9">
        <v>56.76</v>
      </c>
      <c r="L28" s="9">
        <v>304.01</v>
      </c>
      <c r="M28" s="9">
        <v>0</v>
      </c>
      <c r="N28" s="11">
        <f t="shared" si="0"/>
        <v>4233.6400000000003</v>
      </c>
      <c r="O28" s="11">
        <f t="shared" si="1"/>
        <v>0</v>
      </c>
      <c r="P28" s="21">
        <v>714</v>
      </c>
      <c r="Q28" s="20">
        <v>45868</v>
      </c>
      <c r="R28" s="13"/>
      <c r="S28" s="14">
        <f t="shared" si="3"/>
        <v>0.19000000000005457</v>
      </c>
    </row>
    <row r="29" spans="1:19" x14ac:dyDescent="0.25">
      <c r="A29" s="7">
        <f>'[1]Cash Variance'!A30</f>
        <v>45866</v>
      </c>
      <c r="B29" s="8">
        <v>2962.29</v>
      </c>
      <c r="C29" s="8">
        <v>833.31</v>
      </c>
      <c r="D29" s="9">
        <v>178.1</v>
      </c>
      <c r="E29" s="9">
        <v>23.84</v>
      </c>
      <c r="F29" s="10">
        <f t="shared" si="2"/>
        <v>3997.54</v>
      </c>
      <c r="G29" s="9">
        <v>1189.02</v>
      </c>
      <c r="H29" s="9">
        <v>1976.68</v>
      </c>
      <c r="I29" s="9">
        <v>0</v>
      </c>
      <c r="J29" s="9">
        <v>759.11</v>
      </c>
      <c r="K29" s="9">
        <v>0</v>
      </c>
      <c r="L29" s="9">
        <v>62.72</v>
      </c>
      <c r="M29" s="9">
        <v>10</v>
      </c>
      <c r="N29" s="11">
        <f t="shared" si="0"/>
        <v>3997.5299999999997</v>
      </c>
      <c r="O29" s="11">
        <f t="shared" si="1"/>
        <v>1.0000000000218279E-2</v>
      </c>
      <c r="P29" s="21">
        <v>1191</v>
      </c>
      <c r="Q29" s="20">
        <v>45868</v>
      </c>
      <c r="R29" s="13"/>
      <c r="S29" s="14">
        <f t="shared" si="3"/>
        <v>1.9800000000000182</v>
      </c>
    </row>
    <row r="30" spans="1:19" x14ac:dyDescent="0.25">
      <c r="A30" s="7">
        <f>'[1]Cash Variance'!A31</f>
        <v>45867</v>
      </c>
      <c r="B30" s="8">
        <v>2795.63</v>
      </c>
      <c r="C30" s="8">
        <v>744.42</v>
      </c>
      <c r="D30" s="9">
        <v>168.11</v>
      </c>
      <c r="E30" s="9">
        <v>24.25</v>
      </c>
      <c r="F30" s="10">
        <f t="shared" si="2"/>
        <v>3732.4100000000003</v>
      </c>
      <c r="G30" s="9">
        <v>974.61</v>
      </c>
      <c r="H30" s="9">
        <v>2024.85</v>
      </c>
      <c r="I30" s="9">
        <v>0</v>
      </c>
      <c r="J30" s="9">
        <v>605.13</v>
      </c>
      <c r="K30" s="9">
        <v>19.7</v>
      </c>
      <c r="L30" s="9">
        <v>108.11</v>
      </c>
      <c r="M30" s="9">
        <v>0</v>
      </c>
      <c r="N30" s="11">
        <f t="shared" si="0"/>
        <v>3732.4</v>
      </c>
      <c r="O30" s="11">
        <f t="shared" si="1"/>
        <v>1.0000000000218279E-2</v>
      </c>
      <c r="P30" s="22"/>
      <c r="Q30" s="12"/>
      <c r="R30" s="13"/>
      <c r="S30" s="14">
        <f t="shared" si="3"/>
        <v>-974.61</v>
      </c>
    </row>
    <row r="31" spans="1:19" x14ac:dyDescent="0.25">
      <c r="A31" s="7">
        <f>'[1]Cash Variance'!A32</f>
        <v>45868</v>
      </c>
      <c r="B31" s="8">
        <v>3412.46</v>
      </c>
      <c r="C31" s="8">
        <v>717.06</v>
      </c>
      <c r="D31" s="9">
        <v>205.14</v>
      </c>
      <c r="E31" s="9">
        <v>13.11</v>
      </c>
      <c r="F31" s="10">
        <f t="shared" si="2"/>
        <v>4347.7700000000004</v>
      </c>
      <c r="G31" s="9">
        <v>1212.4000000000001</v>
      </c>
      <c r="H31" s="9">
        <v>2431.77</v>
      </c>
      <c r="I31" s="9">
        <v>0</v>
      </c>
      <c r="J31" s="9">
        <v>600.97</v>
      </c>
      <c r="K31" s="9">
        <v>0</v>
      </c>
      <c r="L31" s="9">
        <v>102.62</v>
      </c>
      <c r="M31" s="9">
        <v>0</v>
      </c>
      <c r="N31" s="11">
        <f t="shared" si="0"/>
        <v>4347.76</v>
      </c>
      <c r="O31" s="11">
        <f t="shared" si="1"/>
        <v>1.0000000000218279E-2</v>
      </c>
      <c r="P31" s="9"/>
      <c r="Q31" s="12"/>
      <c r="R31" s="13"/>
      <c r="S31" s="14">
        <f t="shared" si="3"/>
        <v>-1212.4000000000001</v>
      </c>
    </row>
    <row r="32" spans="1:19" ht="15.75" thickBot="1" x14ac:dyDescent="0.3">
      <c r="A32" s="7">
        <f>'[1]Cash Variance'!A33</f>
        <v>45869</v>
      </c>
      <c r="B32" s="8">
        <v>3160.83</v>
      </c>
      <c r="C32" s="8">
        <v>1175.47</v>
      </c>
      <c r="D32" s="9">
        <v>189.99</v>
      </c>
      <c r="E32" s="9">
        <v>32.119999999999997</v>
      </c>
      <c r="F32" s="10">
        <f t="shared" si="2"/>
        <v>4558.41</v>
      </c>
      <c r="G32" s="9">
        <v>1068.51</v>
      </c>
      <c r="H32" s="9">
        <f>2311.22-11.22</f>
        <v>2300</v>
      </c>
      <c r="I32" s="9">
        <v>12.17</v>
      </c>
      <c r="J32" s="9">
        <v>995</v>
      </c>
      <c r="K32" s="9">
        <v>0</v>
      </c>
      <c r="L32" s="9">
        <v>182.73</v>
      </c>
      <c r="M32" s="9">
        <v>0</v>
      </c>
      <c r="N32" s="11">
        <f t="shared" si="0"/>
        <v>4558.41</v>
      </c>
      <c r="O32" s="11">
        <f t="shared" si="1"/>
        <v>0</v>
      </c>
      <c r="P32" s="9"/>
      <c r="Q32" s="12"/>
      <c r="R32" s="13"/>
      <c r="S32" s="14">
        <f t="shared" si="3"/>
        <v>-1068.51</v>
      </c>
    </row>
    <row r="33" spans="1:19" ht="15.75" thickBot="1" x14ac:dyDescent="0.3">
      <c r="A33" s="23" t="s">
        <v>8</v>
      </c>
      <c r="B33" s="24">
        <f t="shared" ref="B33:M33" si="4">SUM(B2:B32)</f>
        <v>96431.83</v>
      </c>
      <c r="C33" s="24">
        <f t="shared" si="4"/>
        <v>30604.390000000007</v>
      </c>
      <c r="D33" s="24">
        <f>SUM(D2:D32)</f>
        <v>5797.63</v>
      </c>
      <c r="E33" s="24">
        <f>SUM(E2:E32)</f>
        <v>831.17000000000019</v>
      </c>
      <c r="F33" s="25">
        <f>SUM(F2:F32)</f>
        <v>133665.02000000002</v>
      </c>
      <c r="G33" s="24">
        <f>SUM(G2:G32)</f>
        <v>30610.620000000003</v>
      </c>
      <c r="H33" s="24">
        <f>SUM(H2:H32)</f>
        <v>72021.340000000011</v>
      </c>
      <c r="I33" s="24">
        <f t="shared" si="4"/>
        <v>523.04999999999995</v>
      </c>
      <c r="J33" s="24">
        <f t="shared" si="4"/>
        <v>25144.110000000008</v>
      </c>
      <c r="K33" s="24">
        <f t="shared" si="4"/>
        <v>321.67999999999995</v>
      </c>
      <c r="L33" s="24">
        <f>SUM(L2:L32)</f>
        <v>5013.9999999999991</v>
      </c>
      <c r="M33" s="24">
        <f t="shared" si="4"/>
        <v>30.03</v>
      </c>
      <c r="N33" s="25">
        <f>SUM(N2:N32)</f>
        <v>133664.82999999999</v>
      </c>
      <c r="O33" s="25">
        <f t="shared" ref="O33:R33" si="5">SUM(O2:O32)</f>
        <v>0.19000000000278305</v>
      </c>
      <c r="P33" s="24">
        <f>SUM(P2:P32)</f>
        <v>26695</v>
      </c>
      <c r="Q33" s="24"/>
      <c r="R33" s="24">
        <f t="shared" si="5"/>
        <v>0</v>
      </c>
      <c r="S33" s="25">
        <f>SUM(S2:S32)</f>
        <v>-3915.62</v>
      </c>
    </row>
    <row r="34" spans="1:19" x14ac:dyDescent="0.25">
      <c r="A34" t="s">
        <v>0</v>
      </c>
      <c r="B34">
        <v>96431.83</v>
      </c>
      <c r="C34">
        <v>30604.39</v>
      </c>
      <c r="D34">
        <v>5797.63</v>
      </c>
      <c r="E34">
        <v>831.17</v>
      </c>
      <c r="G34" s="26">
        <f>+G33</f>
        <v>30610.620000000003</v>
      </c>
      <c r="J34" s="26">
        <f>+J33</f>
        <v>25144.110000000008</v>
      </c>
      <c r="K34" s="26">
        <f>+K33</f>
        <v>321.67999999999995</v>
      </c>
      <c r="L34" s="26">
        <f>+L33</f>
        <v>5013.9999999999991</v>
      </c>
      <c r="M34" s="26">
        <f>+M33</f>
        <v>30.03</v>
      </c>
      <c r="Q34" s="27"/>
      <c r="R34" s="28"/>
    </row>
    <row r="35" spans="1:19" x14ac:dyDescent="0.25">
      <c r="A35" t="s">
        <v>9</v>
      </c>
      <c r="B35" s="26">
        <f>+B33</f>
        <v>96431.83</v>
      </c>
      <c r="C35" s="26">
        <f>+C33</f>
        <v>30604.390000000007</v>
      </c>
      <c r="D35" s="26">
        <f>+D33</f>
        <v>5797.63</v>
      </c>
      <c r="E35" s="26">
        <f>+E33</f>
        <v>831.17000000000019</v>
      </c>
      <c r="G35" s="26">
        <f>+G33</f>
        <v>30610.620000000003</v>
      </c>
      <c r="J35" s="26">
        <f>+J33</f>
        <v>25144.110000000008</v>
      </c>
      <c r="K35" s="26">
        <f>+K33</f>
        <v>321.67999999999995</v>
      </c>
      <c r="L35" s="26">
        <f>+L33</f>
        <v>5013.9999999999991</v>
      </c>
      <c r="M35" s="26">
        <f>+M33</f>
        <v>30.03</v>
      </c>
      <c r="R35" s="28"/>
    </row>
    <row r="36" spans="1:19" x14ac:dyDescent="0.25">
      <c r="H36" s="35" t="s">
        <v>10</v>
      </c>
      <c r="I36" s="35"/>
      <c r="J36" s="30">
        <v>30368.73</v>
      </c>
      <c r="K36" s="29">
        <f>345.66-18.98</f>
        <v>326.68</v>
      </c>
      <c r="L36" s="29">
        <v>6279.49</v>
      </c>
    </row>
    <row r="37" spans="1:19" x14ac:dyDescent="0.25">
      <c r="H37" s="35" t="s">
        <v>11</v>
      </c>
      <c r="I37" s="35"/>
      <c r="J37" s="31">
        <f>+J36-J33</f>
        <v>5224.6199999999917</v>
      </c>
      <c r="K37" s="32">
        <f>+K36-K33</f>
        <v>5.0000000000000568</v>
      </c>
      <c r="L37" s="32">
        <f>+L36-L33</f>
        <v>1265.4900000000007</v>
      </c>
    </row>
    <row r="38" spans="1:19" x14ac:dyDescent="0.25">
      <c r="H38" s="35" t="s">
        <v>12</v>
      </c>
      <c r="I38" s="35"/>
      <c r="J38" s="30">
        <v>-5215.8100000000004</v>
      </c>
      <c r="K38" s="29">
        <v>-32.67</v>
      </c>
      <c r="L38" s="29">
        <f>-1021.08+407.28</f>
        <v>-613.80000000000007</v>
      </c>
    </row>
    <row r="39" spans="1:19" x14ac:dyDescent="0.25">
      <c r="H39" s="35" t="s">
        <v>13</v>
      </c>
      <c r="I39" s="35"/>
      <c r="J39" s="30">
        <v>-5776</v>
      </c>
      <c r="K39" s="29">
        <f>-30.54-5</f>
        <v>-35.54</v>
      </c>
      <c r="L39" s="29">
        <v>-1255.1300000000001</v>
      </c>
    </row>
    <row r="40" spans="1:19" x14ac:dyDescent="0.25">
      <c r="H40" s="35" t="s">
        <v>14</v>
      </c>
      <c r="I40" s="35"/>
      <c r="J40" s="30">
        <v>-161.74</v>
      </c>
      <c r="K40" s="29">
        <v>0</v>
      </c>
      <c r="L40" s="29">
        <v>0</v>
      </c>
    </row>
    <row r="41" spans="1:19" ht="15.75" thickBot="1" x14ac:dyDescent="0.3">
      <c r="H41" s="36" t="s">
        <v>15</v>
      </c>
      <c r="I41" s="36"/>
      <c r="J41" s="33">
        <f>+J36+J38+J39+J40</f>
        <v>19215.179999999997</v>
      </c>
      <c r="K41" s="34">
        <f>+K36+K38+K39+K40</f>
        <v>258.46999999999997</v>
      </c>
      <c r="L41" s="34">
        <f>+L36+L38+L39+L40</f>
        <v>4410.5599999999995</v>
      </c>
    </row>
    <row r="42" spans="1:19" ht="15.75" thickTop="1" x14ac:dyDescent="0.25"/>
  </sheetData>
  <mergeCells count="6">
    <mergeCell ref="H39:I39"/>
    <mergeCell ref="H40:I40"/>
    <mergeCell ref="H41:I41"/>
    <mergeCell ref="H36:I36"/>
    <mergeCell ref="H37:I37"/>
    <mergeCell ref="H38:I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2025-08-20T12:45:14Z</dcterms:created>
  <dcterms:modified xsi:type="dcterms:W3CDTF">2025-10-07T06:18:14Z</dcterms:modified>
</cp:coreProperties>
</file>