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90ED9321-CCFD-4F82-BA8B-2D9F0CB2489C}" xr6:coauthVersionLast="47" xr6:coauthVersionMax="47" xr10:uidLastSave="{00000000-0000-0000-0000-000000000000}"/>
  <bookViews>
    <workbookView xWindow="-120" yWindow="-120" windowWidth="20730" windowHeight="11040" xr2:uid="{55061017-ADCB-4E29-8B2D-F649E5ED11E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L37" i="1" s="1"/>
  <c r="J33" i="1"/>
  <c r="J35" i="1" s="1"/>
  <c r="G33" i="1"/>
  <c r="D33" i="1"/>
  <c r="D34" i="1" s="1"/>
  <c r="C33" i="1"/>
  <c r="C35" i="1" s="1"/>
  <c r="B35" i="1"/>
  <c r="A2" i="1"/>
  <c r="J41" i="1"/>
  <c r="K39" i="1"/>
  <c r="L38" i="1"/>
  <c r="L41" i="1" s="1"/>
  <c r="K37" i="1"/>
  <c r="J37" i="1"/>
  <c r="K36" i="1"/>
  <c r="K41" i="1" s="1"/>
  <c r="L35" i="1"/>
  <c r="K34" i="1"/>
  <c r="J34" i="1"/>
  <c r="R33" i="1"/>
  <c r="M33" i="1"/>
  <c r="M35" i="1" s="1"/>
  <c r="K33" i="1"/>
  <c r="K35" i="1" s="1"/>
  <c r="I33" i="1"/>
  <c r="G34" i="1"/>
  <c r="E33" i="1"/>
  <c r="E34" i="1" s="1"/>
  <c r="B33" i="1"/>
  <c r="B34" i="1" s="1"/>
  <c r="S32" i="1"/>
  <c r="H32" i="1"/>
  <c r="N32" i="1" s="1"/>
  <c r="O32" i="1" s="1"/>
  <c r="F32" i="1"/>
  <c r="A32" i="1"/>
  <c r="S31" i="1"/>
  <c r="N31" i="1"/>
  <c r="F31" i="1"/>
  <c r="O31" i="1" s="1"/>
  <c r="A31" i="1"/>
  <c r="S30" i="1"/>
  <c r="N30" i="1"/>
  <c r="F30" i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A25" i="1"/>
  <c r="S24" i="1"/>
  <c r="N24" i="1"/>
  <c r="F24" i="1"/>
  <c r="A24" i="1"/>
  <c r="S23" i="1"/>
  <c r="N23" i="1"/>
  <c r="F23" i="1"/>
  <c r="A23" i="1"/>
  <c r="S22" i="1"/>
  <c r="N22" i="1"/>
  <c r="F22" i="1"/>
  <c r="O22" i="1" s="1"/>
  <c r="A22" i="1"/>
  <c r="S21" i="1"/>
  <c r="N21" i="1"/>
  <c r="F21" i="1"/>
  <c r="A21" i="1"/>
  <c r="S20" i="1"/>
  <c r="N20" i="1"/>
  <c r="F20" i="1"/>
  <c r="O20" i="1" s="1"/>
  <c r="A20" i="1"/>
  <c r="S19" i="1"/>
  <c r="O19" i="1"/>
  <c r="N19" i="1"/>
  <c r="F19" i="1"/>
  <c r="A19" i="1"/>
  <c r="S18" i="1"/>
  <c r="N18" i="1"/>
  <c r="F18" i="1"/>
  <c r="A18" i="1"/>
  <c r="S17" i="1"/>
  <c r="H17" i="1"/>
  <c r="N17" i="1" s="1"/>
  <c r="F17" i="1"/>
  <c r="A17" i="1"/>
  <c r="S16" i="1"/>
  <c r="O16" i="1"/>
  <c r="N16" i="1"/>
  <c r="F16" i="1"/>
  <c r="A16" i="1"/>
  <c r="S15" i="1"/>
  <c r="N15" i="1"/>
  <c r="F15" i="1"/>
  <c r="O15" i="1" s="1"/>
  <c r="A15" i="1"/>
  <c r="S14" i="1"/>
  <c r="H14" i="1"/>
  <c r="N14" i="1" s="1"/>
  <c r="F14" i="1"/>
  <c r="A14" i="1"/>
  <c r="S13" i="1"/>
  <c r="N13" i="1"/>
  <c r="H13" i="1"/>
  <c r="F13" i="1"/>
  <c r="O13" i="1" s="1"/>
  <c r="A13" i="1"/>
  <c r="S12" i="1"/>
  <c r="N12" i="1"/>
  <c r="F12" i="1"/>
  <c r="A12" i="1"/>
  <c r="S11" i="1"/>
  <c r="N11" i="1"/>
  <c r="F11" i="1"/>
  <c r="O11" i="1" s="1"/>
  <c r="A11" i="1"/>
  <c r="S10" i="1"/>
  <c r="O10" i="1"/>
  <c r="N10" i="1"/>
  <c r="F10" i="1"/>
  <c r="A10" i="1"/>
  <c r="S9" i="1"/>
  <c r="H9" i="1"/>
  <c r="N9" i="1" s="1"/>
  <c r="F9" i="1"/>
  <c r="A9" i="1"/>
  <c r="S8" i="1"/>
  <c r="H8" i="1"/>
  <c r="N8" i="1" s="1"/>
  <c r="F8" i="1"/>
  <c r="A8" i="1"/>
  <c r="S7" i="1"/>
  <c r="H7" i="1"/>
  <c r="N7" i="1" s="1"/>
  <c r="F7" i="1"/>
  <c r="A7" i="1"/>
  <c r="S6" i="1"/>
  <c r="N6" i="1"/>
  <c r="H6" i="1"/>
  <c r="F6" i="1"/>
  <c r="A6" i="1"/>
  <c r="S5" i="1"/>
  <c r="H5" i="1"/>
  <c r="N5" i="1" s="1"/>
  <c r="F5" i="1"/>
  <c r="A5" i="1"/>
  <c r="S4" i="1"/>
  <c r="H4" i="1"/>
  <c r="N4" i="1" s="1"/>
  <c r="F4" i="1"/>
  <c r="O4" i="1" s="1"/>
  <c r="A4" i="1"/>
  <c r="S3" i="1"/>
  <c r="N3" i="1"/>
  <c r="F3" i="1"/>
  <c r="A3" i="1"/>
  <c r="S2" i="1"/>
  <c r="H2" i="1"/>
  <c r="N2" i="1" s="1"/>
  <c r="N33" i="1" s="1"/>
  <c r="F2" i="1"/>
  <c r="F33" i="1" s="1"/>
  <c r="A1" i="1"/>
  <c r="O3" i="1" l="1"/>
  <c r="O5" i="1"/>
  <c r="O14" i="1"/>
  <c r="M34" i="1"/>
  <c r="O7" i="1"/>
  <c r="O9" i="1"/>
  <c r="O18" i="1"/>
  <c r="D35" i="1"/>
  <c r="H33" i="1"/>
  <c r="E35" i="1"/>
  <c r="O24" i="1"/>
  <c r="O28" i="1"/>
  <c r="O30" i="1"/>
  <c r="O8" i="1"/>
  <c r="O17" i="1"/>
  <c r="S33" i="1"/>
  <c r="O6" i="1"/>
  <c r="O12" i="1"/>
  <c r="O21" i="1"/>
  <c r="O23" i="1"/>
  <c r="O25" i="1"/>
  <c r="L34" i="1"/>
  <c r="G35" i="1"/>
  <c r="C34" i="1"/>
  <c r="O2" i="1" l="1"/>
  <c r="O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tc={E2E7A348-E416-4EA8-B239-1B89C4313E09}</author>
  </authors>
  <commentList>
    <comment ref="R12" authorId="0" shapeId="0" xr:uid="{2BCE77F8-9ADE-4755-8FA9-342FDE7859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Cleaning supplies expense of $27</t>
        </r>
      </text>
    </comment>
  </commentList>
</comments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<sst xmlns="http://schemas.openxmlformats.org/spreadsheetml/2006/main" count="27" uniqueCount="27">
  <si>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</si>
  <si>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</si>
  <si>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</si>
  <si>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</si>
  <si>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</si>
  <si>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</si>
  <si>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</si>
  <si>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</si>
  <si>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</si>
  <si>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</si>
  <si>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</si>
  <si>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</si>
  <si>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</si>
  <si>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</si>
  <si>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</si>
  <si>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</si>
  <si>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</si>
  <si>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</si>
  <si>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</si>
  <si>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</si>
  <si>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</si>
  <si>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</si>
  <si>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</si>
  <si>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</si>
  <si>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</si>
  <si>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DepositedCashTDBank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</si>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</sst>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0" fillId="0" borderId="6" xfId="0" applyBorder="1"/>
    <xf numFmtId="165" fontId="4" fillId="0" borderId="11" xfId="0" applyNumberFormat="1" applyFont="1" applyBorder="1" applyAlignment="1">
      <alignment horizontal="right"/>
    </xf>
    <xf numFmtId="14" fontId="4" fillId="0" borderId="10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4" fillId="0" borderId="12" xfId="0" applyNumberFormat="1" applyFont="1" applyBorder="1" applyAlignment="1">
      <alignment horizontal="right"/>
    </xf>
    <xf numFmtId="165" fontId="4" fillId="3" borderId="6" xfId="0" applyNumberFormat="1" applyFont="1" applyFill="1" applyBorder="1" applyAlignment="1">
      <alignment horizontal="right"/>
    </xf>
    <xf numFmtId="14" fontId="4" fillId="0" borderId="11" xfId="0" applyNumberFormat="1" applyFont="1" applyBorder="1" applyAlignment="1">
      <alignment horizontal="right"/>
    </xf>
    <xf numFmtId="166" fontId="4" fillId="0" borderId="6" xfId="0" applyNumberFormat="1" applyFont="1" applyBorder="1" applyAlignment="1">
      <alignment horizontal="center"/>
    </xf>
    <xf numFmtId="165" fontId="4" fillId="0" borderId="13" xfId="0" applyNumberFormat="1" applyFont="1" applyBorder="1" applyAlignment="1">
      <alignment horizontal="right"/>
    </xf>
    <xf numFmtId="165" fontId="4" fillId="0" borderId="14" xfId="0" applyNumberFormat="1" applyFont="1" applyBorder="1" applyAlignment="1">
      <alignment horizontal="right"/>
    </xf>
    <xf numFmtId="165" fontId="4" fillId="0" borderId="15" xfId="0" applyNumberFormat="1" applyFont="1" applyBorder="1" applyAlignment="1">
      <alignment horizontal="right"/>
    </xf>
    <xf numFmtId="0" fontId="5" fillId="2" borderId="16" xfId="0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right"/>
    </xf>
    <xf numFmtId="165" fontId="5" fillId="3" borderId="17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165" fontId="0" fillId="5" borderId="19" xfId="0" applyNumberForma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2E0B-E84B-4720-BC91-6FE2A9ADE1AF}">
  <dimension ref="A1:S42"/>
  <sheetViews>
    <sheetView tabSelected="1" topLeftCell="E1" workbookViewId="0">
      <selection activeCell="S1" sqref="S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2.28515625" customWidth="1"/>
    <col min="15" max="15" width="15.140625" customWidth="1"/>
    <col min="16" max="16" width="15.7109375" customWidth="1"/>
    <col min="17" max="17" width="10.42578125" bestFit="1" customWidth="1"/>
    <col min="19" max="19" width="12.42578125" customWidth="1"/>
  </cols>
  <sheetData>
    <row r="1" spans="1:19" ht="32.25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1037.19</v>
      </c>
      <c r="C2" s="8">
        <v>152.54</v>
      </c>
      <c r="D2" s="9">
        <v>83.09</v>
      </c>
      <c r="E2" s="9">
        <v>7.29</v>
      </c>
      <c r="F2" s="10">
        <f>SUM(B2:E2)</f>
        <v>1280.1099999999999</v>
      </c>
      <c r="G2" s="9">
        <v>306.23</v>
      </c>
      <c r="H2" s="9">
        <f>827.23-4.5</f>
        <v>822.73</v>
      </c>
      <c r="I2" s="9">
        <v>8.09</v>
      </c>
      <c r="J2" s="9">
        <v>28.78</v>
      </c>
      <c r="K2" s="9">
        <v>0</v>
      </c>
      <c r="L2" s="9">
        <v>114.28</v>
      </c>
      <c r="M2" s="9">
        <v>0</v>
      </c>
      <c r="N2" s="11">
        <f>SUM(G2:M2)</f>
        <v>1280.1099999999999</v>
      </c>
      <c r="O2" s="11">
        <f t="shared" ref="O2:O32" si="0">+F2-N2</f>
        <v>0</v>
      </c>
      <c r="P2" s="9"/>
      <c r="Q2" s="12"/>
      <c r="R2" s="13"/>
      <c r="S2" s="14">
        <f t="shared" ref="S2:S32" si="1">P2-G2-R2</f>
        <v>-306.23</v>
      </c>
    </row>
    <row r="3" spans="1:19" x14ac:dyDescent="0.25">
      <c r="A3" s="7">
        <f>'[1]Cash Variance'!A4</f>
        <v>45840</v>
      </c>
      <c r="B3" s="8">
        <v>1085.8699999999999</v>
      </c>
      <c r="C3" s="8">
        <v>152.04</v>
      </c>
      <c r="D3" s="9">
        <v>87.04</v>
      </c>
      <c r="E3" s="9">
        <v>0</v>
      </c>
      <c r="F3" s="10">
        <f t="shared" ref="F3:F32" si="2">SUM(B3:E3)</f>
        <v>1324.9499999999998</v>
      </c>
      <c r="G3" s="9">
        <v>464.5</v>
      </c>
      <c r="H3" s="9">
        <v>710.91</v>
      </c>
      <c r="I3" s="9">
        <v>0</v>
      </c>
      <c r="J3" s="9">
        <v>81.91</v>
      </c>
      <c r="K3" s="9">
        <v>0</v>
      </c>
      <c r="L3" s="9">
        <v>67.63</v>
      </c>
      <c r="M3" s="9">
        <v>0</v>
      </c>
      <c r="N3" s="11">
        <f t="shared" ref="N3:N32" si="3">SUM(G3:M3)</f>
        <v>1324.9499999999998</v>
      </c>
      <c r="O3" s="11">
        <f t="shared" si="0"/>
        <v>0</v>
      </c>
      <c r="P3" s="9">
        <v>465</v>
      </c>
      <c r="Q3" s="12">
        <v>45845</v>
      </c>
      <c r="R3" s="13"/>
      <c r="S3" s="14">
        <f t="shared" si="1"/>
        <v>0.5</v>
      </c>
    </row>
    <row r="4" spans="1:19" x14ac:dyDescent="0.25">
      <c r="A4" s="7">
        <f>'[1]Cash Variance'!A5</f>
        <v>45841</v>
      </c>
      <c r="B4" s="8">
        <v>1341.78</v>
      </c>
      <c r="C4" s="8">
        <v>362.04</v>
      </c>
      <c r="D4" s="9">
        <v>107.52</v>
      </c>
      <c r="E4" s="9">
        <v>26.27</v>
      </c>
      <c r="F4" s="10">
        <f t="shared" si="2"/>
        <v>1837.61</v>
      </c>
      <c r="G4" s="9">
        <v>410.86</v>
      </c>
      <c r="H4" s="9">
        <f>1076.18-8.73</f>
        <v>1067.45</v>
      </c>
      <c r="I4" s="9">
        <v>0</v>
      </c>
      <c r="J4" s="9">
        <v>196.73</v>
      </c>
      <c r="K4" s="9">
        <v>0</v>
      </c>
      <c r="L4" s="9">
        <v>162.57</v>
      </c>
      <c r="M4" s="9">
        <v>0</v>
      </c>
      <c r="N4" s="11">
        <f t="shared" si="3"/>
        <v>1837.61</v>
      </c>
      <c r="O4" s="11">
        <f t="shared" si="0"/>
        <v>0</v>
      </c>
      <c r="P4" s="9">
        <v>410</v>
      </c>
      <c r="Q4" s="12">
        <v>45845</v>
      </c>
      <c r="R4" s="13"/>
      <c r="S4" s="14">
        <f t="shared" si="1"/>
        <v>-0.86000000000001364</v>
      </c>
    </row>
    <row r="5" spans="1:19" x14ac:dyDescent="0.25">
      <c r="A5" s="7">
        <f>'[1]Cash Variance'!A6</f>
        <v>45842</v>
      </c>
      <c r="B5" s="8">
        <v>557.20000000000005</v>
      </c>
      <c r="C5" s="8">
        <v>76.23</v>
      </c>
      <c r="D5" s="9">
        <v>44.67</v>
      </c>
      <c r="E5" s="9">
        <v>7</v>
      </c>
      <c r="F5" s="10">
        <f t="shared" si="2"/>
        <v>685.1</v>
      </c>
      <c r="G5" s="9">
        <v>193.79</v>
      </c>
      <c r="H5" s="9">
        <f>392.06-2.5</f>
        <v>389.56</v>
      </c>
      <c r="I5" s="9">
        <v>23.02</v>
      </c>
      <c r="J5" s="9">
        <v>41.98</v>
      </c>
      <c r="K5" s="9">
        <v>23.3</v>
      </c>
      <c r="L5" s="9">
        <v>13.45</v>
      </c>
      <c r="M5" s="9">
        <v>0</v>
      </c>
      <c r="N5" s="11">
        <f t="shared" si="3"/>
        <v>685.1</v>
      </c>
      <c r="O5" s="11">
        <f t="shared" si="0"/>
        <v>0</v>
      </c>
      <c r="P5" s="9">
        <v>190</v>
      </c>
      <c r="Q5" s="12">
        <v>45845</v>
      </c>
      <c r="R5" s="13"/>
      <c r="S5" s="14">
        <f t="shared" si="1"/>
        <v>-3.789999999999992</v>
      </c>
    </row>
    <row r="6" spans="1:19" x14ac:dyDescent="0.25">
      <c r="A6" s="7">
        <f>'[1]Cash Variance'!A7</f>
        <v>45843</v>
      </c>
      <c r="B6" s="8">
        <v>892.1</v>
      </c>
      <c r="C6" s="8">
        <v>150.36000000000001</v>
      </c>
      <c r="D6" s="9">
        <v>71.5</v>
      </c>
      <c r="E6" s="9">
        <v>3.91</v>
      </c>
      <c r="F6" s="10">
        <f t="shared" si="2"/>
        <v>1117.8700000000001</v>
      </c>
      <c r="G6" s="9">
        <v>423.27</v>
      </c>
      <c r="H6" s="9">
        <f>538.65-5</f>
        <v>533.65</v>
      </c>
      <c r="I6" s="9">
        <v>8.09</v>
      </c>
      <c r="J6" s="9">
        <v>105.89</v>
      </c>
      <c r="K6" s="9">
        <v>0</v>
      </c>
      <c r="L6" s="9">
        <v>46.97</v>
      </c>
      <c r="M6" s="9">
        <v>0</v>
      </c>
      <c r="N6" s="11">
        <f t="shared" si="3"/>
        <v>1117.8700000000001</v>
      </c>
      <c r="O6" s="11">
        <f t="shared" si="0"/>
        <v>0</v>
      </c>
      <c r="P6" s="9">
        <v>440</v>
      </c>
      <c r="Q6" s="12">
        <v>45845</v>
      </c>
      <c r="R6" s="13"/>
      <c r="S6" s="14">
        <f t="shared" si="1"/>
        <v>16.730000000000018</v>
      </c>
    </row>
    <row r="7" spans="1:19" x14ac:dyDescent="0.25">
      <c r="A7" s="7">
        <f>'[1]Cash Variance'!A8</f>
        <v>45844</v>
      </c>
      <c r="B7" s="8">
        <v>1344.1</v>
      </c>
      <c r="C7" s="8">
        <v>389.72</v>
      </c>
      <c r="D7" s="9">
        <v>107.72</v>
      </c>
      <c r="E7" s="9">
        <v>14</v>
      </c>
      <c r="F7" s="10">
        <f t="shared" si="2"/>
        <v>1855.54</v>
      </c>
      <c r="G7" s="9">
        <v>509.9</v>
      </c>
      <c r="H7" s="9">
        <f>955.33-14</f>
        <v>941.33</v>
      </c>
      <c r="I7" s="9">
        <v>8.09</v>
      </c>
      <c r="J7" s="9">
        <v>156.27000000000001</v>
      </c>
      <c r="K7" s="9">
        <v>0</v>
      </c>
      <c r="L7" s="9">
        <v>239.95</v>
      </c>
      <c r="M7" s="9">
        <v>0</v>
      </c>
      <c r="N7" s="11">
        <f t="shared" si="3"/>
        <v>1855.54</v>
      </c>
      <c r="O7" s="11">
        <f t="shared" si="0"/>
        <v>0</v>
      </c>
      <c r="P7" s="9">
        <v>510</v>
      </c>
      <c r="Q7" s="12">
        <v>45848</v>
      </c>
      <c r="R7" s="13"/>
      <c r="S7" s="14">
        <f t="shared" si="1"/>
        <v>0.10000000000002274</v>
      </c>
    </row>
    <row r="8" spans="1:19" x14ac:dyDescent="0.25">
      <c r="A8" s="7">
        <f>'[1]Cash Variance'!A9</f>
        <v>45845</v>
      </c>
      <c r="B8" s="8">
        <v>751.05</v>
      </c>
      <c r="C8" s="8">
        <v>159.12</v>
      </c>
      <c r="D8" s="9">
        <v>60.2</v>
      </c>
      <c r="E8" s="9">
        <v>8.0399999999999991</v>
      </c>
      <c r="F8" s="10">
        <f t="shared" si="2"/>
        <v>978.41</v>
      </c>
      <c r="G8" s="9">
        <v>249.93</v>
      </c>
      <c r="H8" s="9">
        <f>569.35-11.23</f>
        <v>558.12</v>
      </c>
      <c r="I8" s="9">
        <v>0</v>
      </c>
      <c r="J8" s="9">
        <v>42.17</v>
      </c>
      <c r="K8" s="9">
        <v>0</v>
      </c>
      <c r="L8" s="9">
        <v>128.19</v>
      </c>
      <c r="M8" s="9">
        <v>0</v>
      </c>
      <c r="N8" s="11">
        <f t="shared" si="3"/>
        <v>978.40999999999985</v>
      </c>
      <c r="O8" s="11">
        <f t="shared" si="0"/>
        <v>0</v>
      </c>
      <c r="P8" s="9">
        <v>249.85</v>
      </c>
      <c r="Q8" s="12">
        <v>45848</v>
      </c>
      <c r="R8" s="13"/>
      <c r="S8" s="14">
        <f t="shared" si="1"/>
        <v>-8.0000000000012506E-2</v>
      </c>
    </row>
    <row r="9" spans="1:19" x14ac:dyDescent="0.25">
      <c r="A9" s="7">
        <f>'[1]Cash Variance'!A10</f>
        <v>45846</v>
      </c>
      <c r="B9" s="8">
        <v>747.71</v>
      </c>
      <c r="C9" s="8">
        <v>417.45</v>
      </c>
      <c r="D9" s="15">
        <v>59.91</v>
      </c>
      <c r="E9" s="9">
        <v>0</v>
      </c>
      <c r="F9" s="10">
        <f t="shared" si="2"/>
        <v>1225.0700000000002</v>
      </c>
      <c r="G9" s="9">
        <v>224.46</v>
      </c>
      <c r="H9" s="9">
        <f>583.11-6.32</f>
        <v>576.79</v>
      </c>
      <c r="I9" s="9">
        <v>0</v>
      </c>
      <c r="J9" s="9">
        <v>228.41</v>
      </c>
      <c r="K9" s="9">
        <v>20.3</v>
      </c>
      <c r="L9" s="9">
        <v>175.11</v>
      </c>
      <c r="M9" s="9">
        <v>0</v>
      </c>
      <c r="N9" s="11">
        <f t="shared" si="3"/>
        <v>1225.0700000000002</v>
      </c>
      <c r="O9" s="11">
        <f t="shared" si="0"/>
        <v>0</v>
      </c>
      <c r="P9" s="9">
        <v>225</v>
      </c>
      <c r="Q9" s="12">
        <v>45848</v>
      </c>
      <c r="R9" s="13"/>
      <c r="S9" s="14">
        <f t="shared" si="1"/>
        <v>0.53999999999999204</v>
      </c>
    </row>
    <row r="10" spans="1:19" x14ac:dyDescent="0.25">
      <c r="A10" s="7">
        <f>'[1]Cash Variance'!A11</f>
        <v>45847</v>
      </c>
      <c r="B10" s="8">
        <v>1014.79</v>
      </c>
      <c r="C10" s="8">
        <v>87.26</v>
      </c>
      <c r="D10" s="15">
        <v>81.33</v>
      </c>
      <c r="E10" s="9">
        <v>7.67</v>
      </c>
      <c r="F10" s="10">
        <f>SUM(B10:E10)</f>
        <v>1191.05</v>
      </c>
      <c r="G10" s="9">
        <v>459.3</v>
      </c>
      <c r="H10" s="9">
        <v>630.16</v>
      </c>
      <c r="I10" s="9">
        <v>17.8</v>
      </c>
      <c r="J10" s="9">
        <v>48.41</v>
      </c>
      <c r="K10" s="9">
        <v>0</v>
      </c>
      <c r="L10" s="9">
        <v>35.35</v>
      </c>
      <c r="M10" s="9">
        <v>0</v>
      </c>
      <c r="N10" s="11">
        <f t="shared" si="3"/>
        <v>1191.02</v>
      </c>
      <c r="O10" s="11">
        <f t="shared" si="0"/>
        <v>2.9999999999972715E-2</v>
      </c>
      <c r="P10" s="9">
        <v>460</v>
      </c>
      <c r="Q10" s="12">
        <v>45848</v>
      </c>
      <c r="R10" s="13"/>
      <c r="S10" s="14">
        <f t="shared" si="1"/>
        <v>0.69999999999998863</v>
      </c>
    </row>
    <row r="11" spans="1:19" x14ac:dyDescent="0.25">
      <c r="A11" s="7">
        <f>'[1]Cash Variance'!A12</f>
        <v>45848</v>
      </c>
      <c r="B11" s="8">
        <v>1021.92</v>
      </c>
      <c r="C11" s="8">
        <v>120.2</v>
      </c>
      <c r="D11" s="9">
        <v>81.88</v>
      </c>
      <c r="E11" s="9">
        <v>4</v>
      </c>
      <c r="F11" s="10">
        <f t="shared" si="2"/>
        <v>1228</v>
      </c>
      <c r="G11" s="9">
        <v>322.37</v>
      </c>
      <c r="H11" s="9">
        <v>767.61</v>
      </c>
      <c r="I11" s="9">
        <v>17.8</v>
      </c>
      <c r="J11" s="9">
        <v>71.3</v>
      </c>
      <c r="K11" s="9">
        <v>27.45</v>
      </c>
      <c r="L11" s="9">
        <v>22.64</v>
      </c>
      <c r="M11" s="9">
        <v>0</v>
      </c>
      <c r="N11" s="11">
        <f t="shared" si="3"/>
        <v>1229.17</v>
      </c>
      <c r="O11" s="11">
        <f t="shared" si="0"/>
        <v>-1.1700000000000728</v>
      </c>
      <c r="P11" s="16">
        <v>320</v>
      </c>
      <c r="Q11" s="17">
        <v>45854</v>
      </c>
      <c r="R11" s="13"/>
      <c r="S11" s="14">
        <f t="shared" si="1"/>
        <v>-2.3700000000000045</v>
      </c>
    </row>
    <row r="12" spans="1:19" x14ac:dyDescent="0.25">
      <c r="A12" s="7">
        <f>'[1]Cash Variance'!A13</f>
        <v>45849</v>
      </c>
      <c r="B12" s="8">
        <v>1443.11</v>
      </c>
      <c r="C12" s="8">
        <v>358.66</v>
      </c>
      <c r="D12" s="9">
        <v>115.66</v>
      </c>
      <c r="E12" s="9">
        <v>13</v>
      </c>
      <c r="F12" s="10">
        <f t="shared" si="2"/>
        <v>1930.43</v>
      </c>
      <c r="G12" s="9">
        <v>341.53</v>
      </c>
      <c r="H12" s="9">
        <v>1159.21</v>
      </c>
      <c r="I12" s="9">
        <v>76.010000000000005</v>
      </c>
      <c r="J12" s="9">
        <v>235.89</v>
      </c>
      <c r="K12" s="9">
        <v>23.3</v>
      </c>
      <c r="L12" s="9">
        <v>94.47</v>
      </c>
      <c r="M12" s="9">
        <v>0</v>
      </c>
      <c r="N12" s="11">
        <f t="shared" si="3"/>
        <v>1930.4099999999999</v>
      </c>
      <c r="O12" s="11">
        <f t="shared" si="0"/>
        <v>2.0000000000209184E-2</v>
      </c>
      <c r="P12" s="16">
        <v>340</v>
      </c>
      <c r="Q12" s="17">
        <v>45854</v>
      </c>
      <c r="R12" s="9"/>
      <c r="S12" s="14">
        <f t="shared" si="1"/>
        <v>-1.5299999999999727</v>
      </c>
    </row>
    <row r="13" spans="1:19" x14ac:dyDescent="0.25">
      <c r="A13" s="7">
        <f>'[1]Cash Variance'!A14</f>
        <v>45850</v>
      </c>
      <c r="B13" s="8">
        <v>1363.75</v>
      </c>
      <c r="C13" s="8">
        <v>121.13</v>
      </c>
      <c r="D13" s="9">
        <v>109.26</v>
      </c>
      <c r="E13" s="9">
        <v>6.65</v>
      </c>
      <c r="F13" s="10">
        <f t="shared" si="2"/>
        <v>1600.7900000000002</v>
      </c>
      <c r="G13" s="9">
        <v>542.38</v>
      </c>
      <c r="H13" s="9">
        <f>950.75-5</f>
        <v>945.75</v>
      </c>
      <c r="I13" s="9">
        <v>0</v>
      </c>
      <c r="J13" s="9">
        <v>71.569999999999993</v>
      </c>
      <c r="K13" s="9">
        <v>0</v>
      </c>
      <c r="L13" s="9">
        <v>41.09</v>
      </c>
      <c r="M13" s="9">
        <v>0</v>
      </c>
      <c r="N13" s="11">
        <f t="shared" si="3"/>
        <v>1600.79</v>
      </c>
      <c r="O13" s="11">
        <f t="shared" si="0"/>
        <v>0</v>
      </c>
      <c r="P13" s="16">
        <v>540</v>
      </c>
      <c r="Q13" s="17">
        <v>45854</v>
      </c>
      <c r="R13" s="13"/>
      <c r="S13" s="14">
        <f t="shared" si="1"/>
        <v>-2.3799999999999955</v>
      </c>
    </row>
    <row r="14" spans="1:19" x14ac:dyDescent="0.25">
      <c r="A14" s="7">
        <f>'[1]Cash Variance'!A15</f>
        <v>45851</v>
      </c>
      <c r="B14" s="8">
        <v>758.67</v>
      </c>
      <c r="C14" s="8">
        <v>222.04</v>
      </c>
      <c r="D14" s="9">
        <v>60.79</v>
      </c>
      <c r="E14" s="9">
        <v>6</v>
      </c>
      <c r="F14" s="10">
        <f t="shared" si="2"/>
        <v>1047.5</v>
      </c>
      <c r="G14" s="9">
        <v>181.34</v>
      </c>
      <c r="H14" s="9">
        <f>644.08-4.96</f>
        <v>639.12</v>
      </c>
      <c r="I14" s="9">
        <v>0</v>
      </c>
      <c r="J14" s="9">
        <v>146.12</v>
      </c>
      <c r="K14" s="9">
        <v>0</v>
      </c>
      <c r="L14" s="9">
        <v>80.92</v>
      </c>
      <c r="M14" s="9">
        <v>0</v>
      </c>
      <c r="N14" s="11">
        <f t="shared" si="3"/>
        <v>1047.5</v>
      </c>
      <c r="O14" s="11">
        <f t="shared" si="0"/>
        <v>0</v>
      </c>
      <c r="P14" s="16">
        <v>180</v>
      </c>
      <c r="Q14" s="17">
        <v>45854</v>
      </c>
      <c r="R14" s="13"/>
      <c r="S14" s="14">
        <f t="shared" si="1"/>
        <v>-1.3400000000000034</v>
      </c>
    </row>
    <row r="15" spans="1:19" x14ac:dyDescent="0.25">
      <c r="A15" s="7">
        <f>'[1]Cash Variance'!A16</f>
        <v>45852</v>
      </c>
      <c r="B15" s="8">
        <v>582.24</v>
      </c>
      <c r="C15" s="8">
        <v>225.08</v>
      </c>
      <c r="D15" s="9">
        <v>46.67</v>
      </c>
      <c r="E15" s="9">
        <v>0</v>
      </c>
      <c r="F15" s="10">
        <f t="shared" si="2"/>
        <v>853.99</v>
      </c>
      <c r="G15" s="9">
        <v>169.93</v>
      </c>
      <c r="H15" s="9">
        <v>452.81</v>
      </c>
      <c r="I15" s="9">
        <v>6.16</v>
      </c>
      <c r="J15" s="9">
        <v>162.91</v>
      </c>
      <c r="K15" s="9">
        <v>0</v>
      </c>
      <c r="L15" s="9">
        <v>62.17</v>
      </c>
      <c r="M15" s="9">
        <v>0</v>
      </c>
      <c r="N15" s="11">
        <f t="shared" si="3"/>
        <v>853.9799999999999</v>
      </c>
      <c r="O15" s="11">
        <f t="shared" si="0"/>
        <v>1.0000000000104592E-2</v>
      </c>
      <c r="P15" s="16">
        <v>170</v>
      </c>
      <c r="Q15" s="17">
        <v>45854</v>
      </c>
      <c r="R15" s="13"/>
      <c r="S15" s="14">
        <f t="shared" si="1"/>
        <v>6.9999999999993179E-2</v>
      </c>
    </row>
    <row r="16" spans="1:19" x14ac:dyDescent="0.25">
      <c r="A16" s="7">
        <f>'[1]Cash Variance'!A17</f>
        <v>45853</v>
      </c>
      <c r="B16" s="8">
        <v>671.87</v>
      </c>
      <c r="C16" s="8">
        <v>34.29</v>
      </c>
      <c r="D16" s="9">
        <v>53.84</v>
      </c>
      <c r="E16" s="9">
        <v>5</v>
      </c>
      <c r="F16" s="10">
        <f t="shared" si="2"/>
        <v>765</v>
      </c>
      <c r="G16" s="9">
        <v>192.1</v>
      </c>
      <c r="H16" s="9">
        <v>530.14</v>
      </c>
      <c r="I16" s="9">
        <v>8.4700000000000006</v>
      </c>
      <c r="J16" s="9">
        <v>7.83</v>
      </c>
      <c r="K16" s="9">
        <v>16.72</v>
      </c>
      <c r="L16" s="9">
        <v>9.74</v>
      </c>
      <c r="M16" s="9">
        <v>0</v>
      </c>
      <c r="N16" s="11">
        <f t="shared" si="3"/>
        <v>765.00000000000011</v>
      </c>
      <c r="O16" s="11">
        <f t="shared" si="0"/>
        <v>0</v>
      </c>
      <c r="P16" s="16">
        <v>190</v>
      </c>
      <c r="Q16" s="17">
        <v>45854</v>
      </c>
      <c r="R16" s="18"/>
      <c r="S16" s="14">
        <f t="shared" si="1"/>
        <v>-2.0999999999999943</v>
      </c>
    </row>
    <row r="17" spans="1:19" x14ac:dyDescent="0.25">
      <c r="A17" s="7">
        <f>'[1]Cash Variance'!A18</f>
        <v>45854</v>
      </c>
      <c r="B17" s="8">
        <v>1114.24</v>
      </c>
      <c r="C17" s="8">
        <v>176.1</v>
      </c>
      <c r="D17" s="9">
        <v>89.32</v>
      </c>
      <c r="E17" s="9">
        <v>11.2</v>
      </c>
      <c r="F17" s="10">
        <f t="shared" si="2"/>
        <v>1390.86</v>
      </c>
      <c r="G17" s="9">
        <v>312.43</v>
      </c>
      <c r="H17" s="9">
        <f>898.71-2.48</f>
        <v>896.23</v>
      </c>
      <c r="I17" s="9">
        <v>8.09</v>
      </c>
      <c r="J17" s="9">
        <v>112.55</v>
      </c>
      <c r="K17" s="9">
        <v>19.09</v>
      </c>
      <c r="L17" s="9">
        <v>42.47</v>
      </c>
      <c r="M17" s="9">
        <v>0</v>
      </c>
      <c r="N17" s="11">
        <f t="shared" si="3"/>
        <v>1390.86</v>
      </c>
      <c r="O17" s="11">
        <f t="shared" si="0"/>
        <v>0</v>
      </c>
      <c r="P17" s="9">
        <v>321</v>
      </c>
      <c r="Q17" s="12">
        <v>45862</v>
      </c>
      <c r="R17" s="13"/>
      <c r="S17" s="14">
        <f t="shared" si="1"/>
        <v>8.5699999999999932</v>
      </c>
    </row>
    <row r="18" spans="1:19" x14ac:dyDescent="0.25">
      <c r="A18" s="7">
        <f>'[1]Cash Variance'!A19</f>
        <v>45855</v>
      </c>
      <c r="B18" s="8">
        <v>722.86</v>
      </c>
      <c r="C18" s="8">
        <v>167.62</v>
      </c>
      <c r="D18" s="9">
        <v>57.94</v>
      </c>
      <c r="E18" s="9">
        <v>0</v>
      </c>
      <c r="F18" s="10">
        <f t="shared" si="2"/>
        <v>948.42000000000007</v>
      </c>
      <c r="G18" s="9">
        <v>189.75</v>
      </c>
      <c r="H18" s="9">
        <v>591.04999999999995</v>
      </c>
      <c r="I18" s="9">
        <v>0</v>
      </c>
      <c r="J18" s="9">
        <v>100.76</v>
      </c>
      <c r="K18" s="9">
        <v>0</v>
      </c>
      <c r="L18" s="9">
        <v>66.86</v>
      </c>
      <c r="M18" s="9">
        <v>0</v>
      </c>
      <c r="N18" s="11">
        <f t="shared" si="3"/>
        <v>948.42</v>
      </c>
      <c r="O18" s="11">
        <f t="shared" si="0"/>
        <v>0</v>
      </c>
      <c r="P18" s="16">
        <v>220</v>
      </c>
      <c r="Q18" s="12">
        <v>45845</v>
      </c>
      <c r="R18" s="13"/>
      <c r="S18" s="14">
        <f t="shared" si="1"/>
        <v>30.25</v>
      </c>
    </row>
    <row r="19" spans="1:19" x14ac:dyDescent="0.25">
      <c r="A19" s="7">
        <f>'[1]Cash Variance'!A20</f>
        <v>45856</v>
      </c>
      <c r="B19" s="8">
        <v>1489.28</v>
      </c>
      <c r="C19" s="8">
        <v>170.29</v>
      </c>
      <c r="D19" s="9">
        <v>119.32</v>
      </c>
      <c r="E19" s="9">
        <v>5.99</v>
      </c>
      <c r="F19" s="10">
        <f t="shared" si="2"/>
        <v>1784.8799999999999</v>
      </c>
      <c r="G19" s="9">
        <v>446.82</v>
      </c>
      <c r="H19" s="9">
        <v>1136.82</v>
      </c>
      <c r="I19" s="9">
        <v>33.450000000000003</v>
      </c>
      <c r="J19" s="9">
        <v>131.51</v>
      </c>
      <c r="K19" s="9">
        <v>36.28</v>
      </c>
      <c r="L19" s="9">
        <v>0</v>
      </c>
      <c r="M19" s="9">
        <v>0</v>
      </c>
      <c r="N19" s="11">
        <f t="shared" si="3"/>
        <v>1784.8799999999999</v>
      </c>
      <c r="O19" s="11">
        <f t="shared" si="0"/>
        <v>0</v>
      </c>
      <c r="P19" s="19">
        <v>446</v>
      </c>
      <c r="Q19" s="12">
        <v>45862</v>
      </c>
      <c r="R19" s="13"/>
      <c r="S19" s="14">
        <f t="shared" si="1"/>
        <v>-0.81999999999999318</v>
      </c>
    </row>
    <row r="20" spans="1:19" x14ac:dyDescent="0.25">
      <c r="A20" s="7">
        <f>'[1]Cash Variance'!A21</f>
        <v>45857</v>
      </c>
      <c r="B20" s="8">
        <v>1105.03</v>
      </c>
      <c r="C20" s="8">
        <v>120.95</v>
      </c>
      <c r="D20" s="9">
        <v>88.59</v>
      </c>
      <c r="E20" s="9">
        <v>6</v>
      </c>
      <c r="F20" s="10">
        <f t="shared" si="2"/>
        <v>1320.57</v>
      </c>
      <c r="G20" s="9">
        <v>251.65</v>
      </c>
      <c r="H20" s="9">
        <v>922.32</v>
      </c>
      <c r="I20" s="9">
        <v>25.65</v>
      </c>
      <c r="J20" s="9">
        <v>62.22</v>
      </c>
      <c r="K20" s="9">
        <v>0</v>
      </c>
      <c r="L20" s="9">
        <v>58.73</v>
      </c>
      <c r="M20" s="9">
        <v>0</v>
      </c>
      <c r="N20" s="11">
        <f t="shared" si="3"/>
        <v>1320.5700000000002</v>
      </c>
      <c r="O20" s="11">
        <f t="shared" si="0"/>
        <v>0</v>
      </c>
      <c r="P20" s="9">
        <v>251</v>
      </c>
      <c r="Q20" s="12">
        <v>45862</v>
      </c>
      <c r="R20" s="13"/>
      <c r="S20" s="14">
        <f t="shared" si="1"/>
        <v>-0.65000000000000568</v>
      </c>
    </row>
    <row r="21" spans="1:19" x14ac:dyDescent="0.25">
      <c r="A21" s="7">
        <f>'[1]Cash Variance'!A22</f>
        <v>45858</v>
      </c>
      <c r="B21" s="8">
        <v>828.45</v>
      </c>
      <c r="C21" s="8">
        <v>410.94</v>
      </c>
      <c r="D21" s="9">
        <v>66.400000000000006</v>
      </c>
      <c r="E21" s="9">
        <v>16.420000000000002</v>
      </c>
      <c r="F21" s="10">
        <f t="shared" si="2"/>
        <v>1322.2100000000003</v>
      </c>
      <c r="G21" s="9">
        <v>155.68</v>
      </c>
      <c r="H21" s="9">
        <v>737.57</v>
      </c>
      <c r="I21" s="9">
        <v>23.02</v>
      </c>
      <c r="J21" s="9">
        <v>276.73</v>
      </c>
      <c r="K21" s="9">
        <v>0</v>
      </c>
      <c r="L21" s="9">
        <v>129.21</v>
      </c>
      <c r="M21" s="9">
        <v>0</v>
      </c>
      <c r="N21" s="11">
        <f t="shared" si="3"/>
        <v>1322.21</v>
      </c>
      <c r="O21" s="11">
        <f t="shared" si="0"/>
        <v>0</v>
      </c>
      <c r="P21" s="9">
        <v>155</v>
      </c>
      <c r="Q21" s="12">
        <v>45862</v>
      </c>
      <c r="R21" s="13"/>
      <c r="S21" s="14">
        <f t="shared" si="1"/>
        <v>-0.68000000000000682</v>
      </c>
    </row>
    <row r="22" spans="1:19" x14ac:dyDescent="0.25">
      <c r="A22" s="7">
        <f>'[1]Cash Variance'!A23</f>
        <v>45859</v>
      </c>
      <c r="B22" s="8">
        <v>424.21</v>
      </c>
      <c r="C22" s="8">
        <v>66.13</v>
      </c>
      <c r="D22" s="9">
        <v>33.99</v>
      </c>
      <c r="E22" s="9">
        <v>0</v>
      </c>
      <c r="F22" s="10">
        <f t="shared" si="2"/>
        <v>524.32999999999993</v>
      </c>
      <c r="G22" s="9">
        <v>147.88999999999999</v>
      </c>
      <c r="H22" s="9">
        <v>291.75</v>
      </c>
      <c r="I22" s="9">
        <v>18.559999999999999</v>
      </c>
      <c r="J22" s="9">
        <v>54.73</v>
      </c>
      <c r="K22" s="9">
        <v>0</v>
      </c>
      <c r="L22" s="9">
        <v>11.4</v>
      </c>
      <c r="M22" s="9">
        <v>0</v>
      </c>
      <c r="N22" s="11">
        <f t="shared" si="3"/>
        <v>524.32999999999993</v>
      </c>
      <c r="O22" s="11">
        <f t="shared" si="0"/>
        <v>0</v>
      </c>
      <c r="P22" s="9">
        <v>147</v>
      </c>
      <c r="Q22" s="12">
        <v>45862</v>
      </c>
      <c r="R22" s="13"/>
      <c r="S22" s="14">
        <f t="shared" si="1"/>
        <v>-0.88999999999998636</v>
      </c>
    </row>
    <row r="23" spans="1:19" x14ac:dyDescent="0.25">
      <c r="A23" s="7">
        <f>'[1]Cash Variance'!A24</f>
        <v>45860</v>
      </c>
      <c r="B23" s="8">
        <v>836.11</v>
      </c>
      <c r="C23" s="8">
        <v>162.30000000000001</v>
      </c>
      <c r="D23" s="9">
        <v>67.010000000000005</v>
      </c>
      <c r="E23" s="9">
        <v>4.5599999999999996</v>
      </c>
      <c r="F23" s="10">
        <f>SUM(B23:E23)</f>
        <v>1069.98</v>
      </c>
      <c r="G23" s="9">
        <v>205.29</v>
      </c>
      <c r="H23" s="9">
        <v>710.38</v>
      </c>
      <c r="I23" s="9">
        <v>0</v>
      </c>
      <c r="J23" s="9">
        <v>82.4</v>
      </c>
      <c r="K23" s="9">
        <v>0</v>
      </c>
      <c r="L23" s="9">
        <v>71.91</v>
      </c>
      <c r="M23" s="9">
        <v>0</v>
      </c>
      <c r="N23" s="11">
        <f t="shared" si="3"/>
        <v>1069.98</v>
      </c>
      <c r="O23" s="11">
        <f t="shared" si="0"/>
        <v>0</v>
      </c>
      <c r="P23" s="9">
        <v>205</v>
      </c>
      <c r="Q23" s="12">
        <v>45862</v>
      </c>
      <c r="R23" s="13"/>
      <c r="S23" s="14">
        <f t="shared" si="1"/>
        <v>-0.28999999999999204</v>
      </c>
    </row>
    <row r="24" spans="1:19" x14ac:dyDescent="0.25">
      <c r="A24" s="7">
        <f>'[1]Cash Variance'!A25</f>
        <v>45861</v>
      </c>
      <c r="B24" s="8">
        <v>726.6</v>
      </c>
      <c r="C24" s="8">
        <v>150.29</v>
      </c>
      <c r="D24" s="9">
        <v>58.23</v>
      </c>
      <c r="E24" s="9">
        <v>0</v>
      </c>
      <c r="F24" s="10">
        <f t="shared" si="2"/>
        <v>935.12</v>
      </c>
      <c r="G24" s="9">
        <v>239.8</v>
      </c>
      <c r="H24" s="9">
        <v>554.07000000000005</v>
      </c>
      <c r="I24" s="9">
        <v>0</v>
      </c>
      <c r="J24" s="9">
        <v>111.57</v>
      </c>
      <c r="K24" s="9">
        <v>0</v>
      </c>
      <c r="L24" s="9">
        <v>29.67</v>
      </c>
      <c r="M24" s="9">
        <v>0</v>
      </c>
      <c r="N24" s="11">
        <f t="shared" si="3"/>
        <v>935.11</v>
      </c>
      <c r="O24" s="11">
        <f t="shared" si="0"/>
        <v>9.9999999999909051E-3</v>
      </c>
      <c r="P24" s="9">
        <v>220</v>
      </c>
      <c r="Q24" s="12">
        <v>45862</v>
      </c>
      <c r="R24" s="13"/>
      <c r="S24" s="14">
        <f t="shared" si="1"/>
        <v>-19.800000000000011</v>
      </c>
    </row>
    <row r="25" spans="1:19" x14ac:dyDescent="0.25">
      <c r="A25" s="7">
        <f>'[1]Cash Variance'!A26</f>
        <v>45862</v>
      </c>
      <c r="B25" s="8">
        <v>811.17</v>
      </c>
      <c r="C25" s="8">
        <v>127.05</v>
      </c>
      <c r="D25" s="9">
        <v>65.010000000000005</v>
      </c>
      <c r="E25" s="9">
        <v>5.2</v>
      </c>
      <c r="F25" s="10">
        <f t="shared" si="2"/>
        <v>1008.43</v>
      </c>
      <c r="G25" s="9">
        <v>193.79</v>
      </c>
      <c r="H25" s="9">
        <v>692.07</v>
      </c>
      <c r="I25" s="9">
        <v>0</v>
      </c>
      <c r="J25" s="9">
        <v>106.72</v>
      </c>
      <c r="K25" s="9">
        <v>0</v>
      </c>
      <c r="L25" s="9">
        <v>15.84</v>
      </c>
      <c r="M25" s="9">
        <v>0</v>
      </c>
      <c r="N25" s="11">
        <f t="shared" si="3"/>
        <v>1008.4200000000001</v>
      </c>
      <c r="O25" s="11">
        <f t="shared" si="0"/>
        <v>9.9999999998772182E-3</v>
      </c>
      <c r="P25" s="16">
        <v>190</v>
      </c>
      <c r="Q25" s="20">
        <v>45862</v>
      </c>
      <c r="R25" s="13"/>
      <c r="S25" s="14">
        <f t="shared" si="1"/>
        <v>-3.789999999999992</v>
      </c>
    </row>
    <row r="26" spans="1:19" x14ac:dyDescent="0.25">
      <c r="A26" s="7">
        <f>'[1]Cash Variance'!A27</f>
        <v>45863</v>
      </c>
      <c r="B26" s="9">
        <v>351.69</v>
      </c>
      <c r="C26" s="9">
        <v>96.52</v>
      </c>
      <c r="D26" s="9">
        <v>28.19</v>
      </c>
      <c r="E26" s="9">
        <v>5.85</v>
      </c>
      <c r="F26" s="10">
        <f t="shared" si="2"/>
        <v>482.25</v>
      </c>
      <c r="G26" s="9">
        <v>41.52</v>
      </c>
      <c r="H26" s="9">
        <v>311.45</v>
      </c>
      <c r="I26" s="9">
        <v>32.76</v>
      </c>
      <c r="J26" s="9">
        <v>53.17</v>
      </c>
      <c r="K26" s="9">
        <v>25.07</v>
      </c>
      <c r="L26" s="9">
        <v>18.28</v>
      </c>
      <c r="M26" s="9">
        <v>0</v>
      </c>
      <c r="N26" s="11">
        <f t="shared" si="3"/>
        <v>482.25</v>
      </c>
      <c r="O26" s="11">
        <f t="shared" si="0"/>
        <v>0</v>
      </c>
      <c r="P26" s="16">
        <v>40</v>
      </c>
      <c r="Q26" s="21">
        <v>45868</v>
      </c>
      <c r="R26" s="13"/>
      <c r="S26" s="14">
        <f t="shared" si="1"/>
        <v>-1.5200000000000031</v>
      </c>
    </row>
    <row r="27" spans="1:19" x14ac:dyDescent="0.25">
      <c r="A27" s="7">
        <f>'[1]Cash Variance'!A28</f>
        <v>45864</v>
      </c>
      <c r="B27" s="8">
        <v>1180.1099999999999</v>
      </c>
      <c r="C27" s="8">
        <v>96.24</v>
      </c>
      <c r="D27" s="9">
        <v>94.63</v>
      </c>
      <c r="E27" s="9">
        <v>2</v>
      </c>
      <c r="F27" s="10">
        <f t="shared" si="2"/>
        <v>1372.98</v>
      </c>
      <c r="G27" s="9">
        <v>490.9</v>
      </c>
      <c r="H27" s="9">
        <v>706.34</v>
      </c>
      <c r="I27" s="9">
        <v>84.5</v>
      </c>
      <c r="J27" s="9">
        <v>66.61</v>
      </c>
      <c r="K27" s="9">
        <v>0</v>
      </c>
      <c r="L27" s="9">
        <v>24.63</v>
      </c>
      <c r="M27" s="9">
        <v>0</v>
      </c>
      <c r="N27" s="11">
        <f t="shared" si="3"/>
        <v>1372.98</v>
      </c>
      <c r="O27" s="11">
        <f t="shared" si="0"/>
        <v>0</v>
      </c>
      <c r="P27" s="16">
        <v>490</v>
      </c>
      <c r="Q27" s="21">
        <v>45868</v>
      </c>
      <c r="R27" s="13"/>
      <c r="S27" s="14">
        <f t="shared" si="1"/>
        <v>-0.89999999999997726</v>
      </c>
    </row>
    <row r="28" spans="1:19" x14ac:dyDescent="0.25">
      <c r="A28" s="7">
        <f>'[1]Cash Variance'!A29</f>
        <v>45865</v>
      </c>
      <c r="B28" s="8">
        <v>1013.23</v>
      </c>
      <c r="C28" s="8">
        <v>77.180000000000007</v>
      </c>
      <c r="D28" s="9">
        <v>81.239999999999995</v>
      </c>
      <c r="E28" s="9">
        <v>2</v>
      </c>
      <c r="F28" s="10">
        <f t="shared" si="2"/>
        <v>1173.6500000000001</v>
      </c>
      <c r="G28" s="9">
        <v>262.69</v>
      </c>
      <c r="H28" s="9">
        <v>838.27</v>
      </c>
      <c r="I28" s="9">
        <v>0</v>
      </c>
      <c r="J28" s="9">
        <v>72.69</v>
      </c>
      <c r="K28" s="9">
        <v>0</v>
      </c>
      <c r="L28" s="9">
        <v>0</v>
      </c>
      <c r="M28" s="9">
        <v>0</v>
      </c>
      <c r="N28" s="11">
        <f t="shared" si="3"/>
        <v>1173.6500000000001</v>
      </c>
      <c r="O28" s="11">
        <f t="shared" si="0"/>
        <v>0</v>
      </c>
      <c r="P28" s="16">
        <v>260</v>
      </c>
      <c r="Q28" s="21">
        <v>45868</v>
      </c>
      <c r="R28" s="13"/>
      <c r="S28" s="14">
        <f t="shared" si="1"/>
        <v>-2.6899999999999977</v>
      </c>
    </row>
    <row r="29" spans="1:19" x14ac:dyDescent="0.25">
      <c r="A29" s="7">
        <f>'[1]Cash Variance'!A30</f>
        <v>45866</v>
      </c>
      <c r="B29" s="8">
        <v>736.43</v>
      </c>
      <c r="C29" s="8">
        <v>74.89</v>
      </c>
      <c r="D29" s="9">
        <v>59.04</v>
      </c>
      <c r="E29" s="9">
        <v>4</v>
      </c>
      <c r="F29" s="10">
        <f t="shared" si="2"/>
        <v>874.3599999999999</v>
      </c>
      <c r="G29" s="9">
        <v>286.61</v>
      </c>
      <c r="H29" s="9">
        <v>532.33000000000004</v>
      </c>
      <c r="I29" s="9">
        <v>0</v>
      </c>
      <c r="J29" s="9">
        <v>55.4</v>
      </c>
      <c r="K29" s="9">
        <v>0</v>
      </c>
      <c r="L29" s="9">
        <v>0</v>
      </c>
      <c r="M29" s="9">
        <v>0</v>
      </c>
      <c r="N29" s="11">
        <f t="shared" si="3"/>
        <v>874.34</v>
      </c>
      <c r="O29" s="11">
        <f t="shared" si="0"/>
        <v>1.9999999999868123E-2</v>
      </c>
      <c r="P29" s="16">
        <v>285</v>
      </c>
      <c r="Q29" s="21">
        <v>45868</v>
      </c>
      <c r="R29" s="13"/>
      <c r="S29" s="14">
        <f t="shared" si="1"/>
        <v>-1.6100000000000136</v>
      </c>
    </row>
    <row r="30" spans="1:19" x14ac:dyDescent="0.25">
      <c r="A30" s="7">
        <f>'[1]Cash Variance'!A31</f>
        <v>45867</v>
      </c>
      <c r="B30" s="8">
        <v>1000.15</v>
      </c>
      <c r="C30" s="8">
        <v>117.65</v>
      </c>
      <c r="D30" s="9">
        <v>80.150000000000006</v>
      </c>
      <c r="E30" s="9">
        <v>6.45</v>
      </c>
      <c r="F30" s="10">
        <f t="shared" si="2"/>
        <v>1204.4000000000001</v>
      </c>
      <c r="G30" s="9">
        <v>414.66</v>
      </c>
      <c r="H30" s="9">
        <v>672.09</v>
      </c>
      <c r="I30" s="9">
        <v>0</v>
      </c>
      <c r="J30" s="9">
        <v>43.48</v>
      </c>
      <c r="K30" s="9">
        <v>0</v>
      </c>
      <c r="L30" s="9">
        <v>74.17</v>
      </c>
      <c r="M30" s="9">
        <v>0</v>
      </c>
      <c r="N30" s="22">
        <f t="shared" si="3"/>
        <v>1204.4000000000001</v>
      </c>
      <c r="O30" s="11">
        <f t="shared" si="0"/>
        <v>0</v>
      </c>
      <c r="P30" s="16">
        <v>405</v>
      </c>
      <c r="Q30" s="21">
        <v>45868</v>
      </c>
      <c r="R30" s="13"/>
      <c r="S30" s="14">
        <f t="shared" si="1"/>
        <v>-9.660000000000025</v>
      </c>
    </row>
    <row r="31" spans="1:19" x14ac:dyDescent="0.25">
      <c r="A31" s="7">
        <f>'[1]Cash Variance'!A32</f>
        <v>45868</v>
      </c>
      <c r="B31" s="8">
        <v>1172.18</v>
      </c>
      <c r="C31" s="8">
        <v>125.11</v>
      </c>
      <c r="D31" s="9">
        <v>93.94</v>
      </c>
      <c r="E31" s="9">
        <v>9.5</v>
      </c>
      <c r="F31" s="10">
        <f t="shared" si="2"/>
        <v>1400.73</v>
      </c>
      <c r="G31" s="9">
        <v>417.34</v>
      </c>
      <c r="H31" s="9">
        <v>828.74</v>
      </c>
      <c r="I31" s="9">
        <v>35.82</v>
      </c>
      <c r="J31" s="9">
        <v>47.37</v>
      </c>
      <c r="K31" s="9">
        <v>13.14</v>
      </c>
      <c r="L31" s="9">
        <v>58.31</v>
      </c>
      <c r="M31" s="23">
        <v>0</v>
      </c>
      <c r="N31" s="24">
        <f t="shared" si="3"/>
        <v>1400.7199999999998</v>
      </c>
      <c r="O31" s="11">
        <f t="shared" si="0"/>
        <v>1.0000000000218279E-2</v>
      </c>
      <c r="P31" s="19"/>
      <c r="Q31" s="25"/>
      <c r="R31" s="13"/>
      <c r="S31" s="14">
        <f t="shared" si="1"/>
        <v>-417.34</v>
      </c>
    </row>
    <row r="32" spans="1:19" ht="15.75" thickBot="1" x14ac:dyDescent="0.3">
      <c r="A32" s="7">
        <f>'[1]Cash Variance'!A33</f>
        <v>45869</v>
      </c>
      <c r="B32" s="26">
        <v>942.23</v>
      </c>
      <c r="C32" s="26">
        <v>288.06</v>
      </c>
      <c r="D32" s="27">
        <v>75.510000000000005</v>
      </c>
      <c r="E32" s="27">
        <v>5.05</v>
      </c>
      <c r="F32" s="10">
        <f t="shared" si="2"/>
        <v>1310.85</v>
      </c>
      <c r="G32" s="27">
        <v>303.83999999999997</v>
      </c>
      <c r="H32" s="27">
        <f>732.42-5</f>
        <v>727.42</v>
      </c>
      <c r="I32" s="27">
        <v>0</v>
      </c>
      <c r="J32" s="27">
        <v>217</v>
      </c>
      <c r="K32" s="27">
        <v>10.74</v>
      </c>
      <c r="L32" s="27">
        <v>51.85</v>
      </c>
      <c r="M32" s="28">
        <v>0</v>
      </c>
      <c r="N32" s="24">
        <f t="shared" si="3"/>
        <v>1310.85</v>
      </c>
      <c r="O32" s="11">
        <f t="shared" si="0"/>
        <v>0</v>
      </c>
      <c r="P32" s="29"/>
      <c r="Q32" s="12"/>
      <c r="R32" s="13"/>
      <c r="S32" s="14">
        <f t="shared" si="1"/>
        <v>-303.83999999999997</v>
      </c>
    </row>
    <row r="33" spans="1:19" ht="15.75" thickBot="1" x14ac:dyDescent="0.3">
      <c r="A33" s="30" t="s">
        <v>8</v>
      </c>
      <c r="B33" s="31">
        <f t="shared" ref="B33:M33" si="4">SUM(B2:B32)</f>
        <v>29067.319999999996</v>
      </c>
      <c r="C33" s="31">
        <f t="shared" ref="C33:H33" si="5">SUM(C2:C32)</f>
        <v>5455.4800000000005</v>
      </c>
      <c r="D33" s="31">
        <f t="shared" si="5"/>
        <v>2329.5900000000006</v>
      </c>
      <c r="E33" s="31">
        <f t="shared" si="5"/>
        <v>193.04999999999998</v>
      </c>
      <c r="F33" s="32">
        <f t="shared" si="5"/>
        <v>37045.440000000002</v>
      </c>
      <c r="G33" s="31">
        <f t="shared" si="5"/>
        <v>9352.5500000000011</v>
      </c>
      <c r="H33" s="31">
        <f t="shared" si="5"/>
        <v>21874.240000000002</v>
      </c>
      <c r="I33" s="31">
        <f t="shared" si="4"/>
        <v>435.38</v>
      </c>
      <c r="J33" s="31">
        <f>SUM(J2:J32)</f>
        <v>3221.08</v>
      </c>
      <c r="K33" s="31">
        <f t="shared" si="4"/>
        <v>215.39</v>
      </c>
      <c r="L33" s="31">
        <f>SUM(L2:L32)</f>
        <v>1947.8600000000001</v>
      </c>
      <c r="M33" s="31">
        <f t="shared" si="4"/>
        <v>0</v>
      </c>
      <c r="N33" s="32">
        <f>SUM(N2:N32)</f>
        <v>37046.5</v>
      </c>
      <c r="O33" s="32">
        <f t="shared" ref="O33:R33" si="6">SUM(O2:O32)</f>
        <v>-1.0599999999998317</v>
      </c>
      <c r="P33" s="31">
        <f>SUM(P2:P32)</f>
        <v>8324.85</v>
      </c>
      <c r="Q33" s="31"/>
      <c r="R33" s="31">
        <f t="shared" si="6"/>
        <v>0</v>
      </c>
      <c r="S33" s="32">
        <f>SUM(S2:S32)</f>
        <v>-1027.6999999999998</v>
      </c>
    </row>
    <row r="34" spans="1:19" x14ac:dyDescent="0.25">
      <c r="A34" s="33" t="s">
        <v>0</v>
      </c>
      <c r="B34" s="34">
        <f>+B33</f>
        <v>29067.319999999996</v>
      </c>
      <c r="C34" s="34">
        <f>+C33</f>
        <v>5455.4800000000005</v>
      </c>
      <c r="D34" s="34">
        <f>+D33</f>
        <v>2329.5900000000006</v>
      </c>
      <c r="E34" s="34">
        <f>+E33</f>
        <v>193.04999999999998</v>
      </c>
      <c r="F34" s="33"/>
      <c r="G34" s="34">
        <f>+G33</f>
        <v>9352.5500000000011</v>
      </c>
      <c r="H34" s="33"/>
      <c r="I34" s="33"/>
      <c r="J34" s="34">
        <f>+J33</f>
        <v>3221.08</v>
      </c>
      <c r="K34" s="34">
        <f>+K33</f>
        <v>215.39</v>
      </c>
      <c r="L34" s="34">
        <f>+L33</f>
        <v>1947.8600000000001</v>
      </c>
      <c r="M34" s="34">
        <f>+M33</f>
        <v>0</v>
      </c>
      <c r="N34" s="33"/>
      <c r="O34" s="33"/>
      <c r="P34" s="33"/>
      <c r="Q34" s="35"/>
      <c r="R34" s="33"/>
    </row>
    <row r="35" spans="1:19" x14ac:dyDescent="0.25">
      <c r="A35" s="36" t="s">
        <v>9</v>
      </c>
      <c r="B35" s="37">
        <f>+B33</f>
        <v>29067.319999999996</v>
      </c>
      <c r="C35" s="37">
        <f>+C33</f>
        <v>5455.4800000000005</v>
      </c>
      <c r="D35" s="37">
        <f>+D33</f>
        <v>2329.5900000000006</v>
      </c>
      <c r="E35" s="37">
        <f>+E33</f>
        <v>193.04999999999998</v>
      </c>
      <c r="F35" s="36"/>
      <c r="G35" s="37">
        <f>+G33</f>
        <v>9352.5500000000011</v>
      </c>
      <c r="H35" s="36"/>
      <c r="I35" s="36"/>
      <c r="J35" s="37">
        <f>+J33</f>
        <v>3221.08</v>
      </c>
      <c r="K35" s="37">
        <f>+K33</f>
        <v>215.39</v>
      </c>
      <c r="L35" s="37">
        <f>+L33</f>
        <v>1947.8600000000001</v>
      </c>
      <c r="M35" s="37">
        <f>+M33</f>
        <v>0</v>
      </c>
      <c r="N35" s="36"/>
      <c r="O35" s="36"/>
      <c r="P35" s="38"/>
      <c r="Q35" s="35"/>
      <c r="R35" s="39"/>
    </row>
    <row r="36" spans="1:19" x14ac:dyDescent="0.25">
      <c r="A36" s="36"/>
      <c r="B36" s="36"/>
      <c r="C36" s="36"/>
      <c r="D36" s="36"/>
      <c r="E36" s="36"/>
      <c r="F36" s="36"/>
      <c r="G36" s="36"/>
      <c r="H36" s="48" t="s">
        <v>10</v>
      </c>
      <c r="I36" s="48"/>
      <c r="J36" s="41">
        <v>3837.86</v>
      </c>
      <c r="K36" s="40">
        <f>293.24-43.44-15.76</f>
        <v>234.04000000000002</v>
      </c>
      <c r="L36" s="40">
        <v>2614.34</v>
      </c>
      <c r="M36" s="36"/>
      <c r="N36" s="36"/>
      <c r="O36" s="36"/>
      <c r="P36" s="36"/>
      <c r="Q36" s="42"/>
      <c r="R36" s="36"/>
    </row>
    <row r="37" spans="1:19" x14ac:dyDescent="0.25">
      <c r="A37" s="36"/>
      <c r="B37" s="36"/>
      <c r="C37" s="36"/>
      <c r="D37" s="36"/>
      <c r="E37" s="36"/>
      <c r="F37" s="36"/>
      <c r="G37" s="36"/>
      <c r="H37" s="48" t="s">
        <v>11</v>
      </c>
      <c r="I37" s="48"/>
      <c r="J37" s="43">
        <f>+J36-J33</f>
        <v>616.7800000000002</v>
      </c>
      <c r="K37" s="44">
        <f>+K36-K33</f>
        <v>18.650000000000034</v>
      </c>
      <c r="L37" s="44">
        <f>+L36-L33</f>
        <v>666.48</v>
      </c>
      <c r="M37" s="36"/>
      <c r="N37" s="36"/>
      <c r="O37" s="36"/>
      <c r="P37" s="36"/>
      <c r="Q37" s="42"/>
      <c r="R37" s="45"/>
    </row>
    <row r="38" spans="1:19" x14ac:dyDescent="0.25">
      <c r="A38" s="36"/>
      <c r="B38" s="36"/>
      <c r="C38" s="36"/>
      <c r="D38" s="36"/>
      <c r="E38" s="36"/>
      <c r="F38" s="36"/>
      <c r="G38" s="36"/>
      <c r="H38" s="48" t="s">
        <v>12</v>
      </c>
      <c r="I38" s="48"/>
      <c r="J38" s="41">
        <v>-662.2</v>
      </c>
      <c r="K38" s="40">
        <v>-23.35</v>
      </c>
      <c r="L38" s="40">
        <f>-430.58+150.38</f>
        <v>-280.2</v>
      </c>
      <c r="M38" s="36"/>
      <c r="N38" s="36"/>
      <c r="O38" s="36"/>
      <c r="P38" s="36"/>
      <c r="Q38" s="36"/>
      <c r="R38" s="36"/>
    </row>
    <row r="39" spans="1:19" x14ac:dyDescent="0.25">
      <c r="A39" s="36"/>
      <c r="B39" s="36"/>
      <c r="C39" s="36"/>
      <c r="D39" s="36"/>
      <c r="E39" s="36"/>
      <c r="F39" s="36"/>
      <c r="G39" s="36"/>
      <c r="H39" s="48" t="s">
        <v>13</v>
      </c>
      <c r="I39" s="48"/>
      <c r="J39" s="41">
        <v>-715.09</v>
      </c>
      <c r="K39" s="40">
        <f>-20.45-18.03</f>
        <v>-38.480000000000004</v>
      </c>
      <c r="L39" s="40">
        <v>-589.09</v>
      </c>
      <c r="M39" s="36"/>
      <c r="N39" s="36"/>
      <c r="O39" s="36"/>
      <c r="P39" s="36"/>
      <c r="Q39" s="36"/>
      <c r="R39" s="36"/>
    </row>
    <row r="40" spans="1:19" x14ac:dyDescent="0.25">
      <c r="A40" s="36"/>
      <c r="B40" s="36"/>
      <c r="C40" s="36"/>
      <c r="D40" s="36"/>
      <c r="E40" s="36"/>
      <c r="F40" s="36"/>
      <c r="G40" s="36"/>
      <c r="H40" s="48" t="s">
        <v>14</v>
      </c>
      <c r="I40" s="48"/>
      <c r="J40" s="41">
        <v>-145.87</v>
      </c>
      <c r="K40" s="40">
        <v>-8.3800000000000008</v>
      </c>
      <c r="L40" s="40">
        <v>-1.65</v>
      </c>
      <c r="M40" s="36"/>
      <c r="N40" s="36"/>
      <c r="O40" s="36"/>
      <c r="P40" s="36"/>
      <c r="Q40" s="36"/>
      <c r="R40" s="36"/>
    </row>
    <row r="41" spans="1:19" ht="15.75" thickBot="1" x14ac:dyDescent="0.3">
      <c r="A41" s="36"/>
      <c r="B41" s="36"/>
      <c r="C41" s="36"/>
      <c r="D41" s="36"/>
      <c r="E41" s="36"/>
      <c r="F41" s="36"/>
      <c r="G41" s="36"/>
      <c r="H41" s="49" t="s">
        <v>15</v>
      </c>
      <c r="I41" s="49"/>
      <c r="J41" s="46">
        <f>+J36+J38+J39+J40</f>
        <v>2314.6999999999998</v>
      </c>
      <c r="K41" s="47">
        <f>+K36+K38+K39+K40</f>
        <v>163.83000000000004</v>
      </c>
      <c r="L41" s="47">
        <f>+L36+L38+L39+L40</f>
        <v>1743.4</v>
      </c>
      <c r="M41" s="36"/>
      <c r="N41" s="36"/>
      <c r="O41" s="36"/>
      <c r="P41" s="36"/>
      <c r="Q41" s="36"/>
      <c r="R41" s="36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2025-08-20T12:36:37Z</dcterms:created>
  <dcterms:modified xsi:type="dcterms:W3CDTF">2025-10-07T06:05:46Z</dcterms:modified>
</cp:coreProperties>
</file>