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855DAE7-3744-463D-A831-2A2A43F3FAC7}" xr6:coauthVersionLast="47" xr6:coauthVersionMax="47" xr10:uidLastSave="{00000000-0000-0000-0000-000000000000}"/>
  <bookViews>
    <workbookView xWindow="-120" yWindow="-120" windowWidth="20730" windowHeight="11040" xr2:uid="{A2A3A481-6729-44D4-B84A-6E42A60449D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5" i="1"/>
  <c r="J35" i="1"/>
  <c r="C35" i="1"/>
  <c r="B35" i="1"/>
  <c r="A32" i="1"/>
  <c r="J41" i="1"/>
  <c r="K39" i="1"/>
  <c r="L38" i="1"/>
  <c r="L41" i="1" s="1"/>
  <c r="K36" i="1"/>
  <c r="K41" i="1" s="1"/>
  <c r="E35" i="1"/>
  <c r="K34" i="1"/>
  <c r="R33" i="1"/>
  <c r="M33" i="1"/>
  <c r="M35" i="1" s="1"/>
  <c r="L33" i="1"/>
  <c r="L37" i="1" s="1"/>
  <c r="K33" i="1"/>
  <c r="K35" i="1" s="1"/>
  <c r="J33" i="1"/>
  <c r="J34" i="1" s="1"/>
  <c r="I33" i="1"/>
  <c r="G33" i="1"/>
  <c r="G34" i="1" s="1"/>
  <c r="E33" i="1"/>
  <c r="E34" i="1" s="1"/>
  <c r="D33" i="1"/>
  <c r="D34" i="1" s="1"/>
  <c r="C33" i="1"/>
  <c r="B33" i="1"/>
  <c r="S32" i="1"/>
  <c r="N32" i="1"/>
  <c r="F32" i="1"/>
  <c r="O32" i="1" s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O27" i="1" s="1"/>
  <c r="A27" i="1"/>
  <c r="S26" i="1"/>
  <c r="H26" i="1"/>
  <c r="N26" i="1" s="1"/>
  <c r="F26" i="1"/>
  <c r="A26" i="1"/>
  <c r="S25" i="1"/>
  <c r="H25" i="1"/>
  <c r="N25" i="1" s="1"/>
  <c r="F25" i="1"/>
  <c r="O25" i="1" s="1"/>
  <c r="A25" i="1"/>
  <c r="S24" i="1"/>
  <c r="N24" i="1"/>
  <c r="H24" i="1"/>
  <c r="F24" i="1"/>
  <c r="A24" i="1"/>
  <c r="S23" i="1"/>
  <c r="N23" i="1"/>
  <c r="O23" i="1" s="1"/>
  <c r="H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H14" i="1"/>
  <c r="F14" i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N9" i="1"/>
  <c r="H9" i="1"/>
  <c r="F9" i="1"/>
  <c r="O9" i="1" s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N6" i="1"/>
  <c r="H6" i="1"/>
  <c r="F6" i="1"/>
  <c r="A6" i="1"/>
  <c r="S5" i="1"/>
  <c r="N5" i="1"/>
  <c r="F5" i="1"/>
  <c r="O5" i="1" s="1"/>
  <c r="A5" i="1"/>
  <c r="S4" i="1"/>
  <c r="H4" i="1"/>
  <c r="N4" i="1" s="1"/>
  <c r="F4" i="1"/>
  <c r="A4" i="1"/>
  <c r="S3" i="1"/>
  <c r="H3" i="1"/>
  <c r="N3" i="1" s="1"/>
  <c r="F3" i="1"/>
  <c r="O3" i="1" s="1"/>
  <c r="A3" i="1"/>
  <c r="S2" i="1"/>
  <c r="H2" i="1"/>
  <c r="N2" i="1" s="1"/>
  <c r="F2" i="1"/>
  <c r="F33" i="1" s="1"/>
  <c r="A2" i="1"/>
  <c r="A1" i="1"/>
  <c r="N33" i="1" l="1"/>
  <c r="O14" i="1"/>
  <c r="O24" i="1"/>
  <c r="K37" i="1"/>
  <c r="D35" i="1"/>
  <c r="O10" i="1"/>
  <c r="O19" i="1"/>
  <c r="O26" i="1"/>
  <c r="O15" i="1"/>
  <c r="J37" i="1"/>
  <c r="O6" i="1"/>
  <c r="G35" i="1"/>
  <c r="S33" i="1"/>
  <c r="O8" i="1"/>
  <c r="O28" i="1"/>
  <c r="H33" i="1"/>
  <c r="O18" i="1"/>
  <c r="O2" i="1"/>
  <c r="O12" i="1"/>
  <c r="O4" i="1"/>
  <c r="L34" i="1"/>
  <c r="B34" i="1"/>
  <c r="M34" i="1"/>
  <c r="C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<sst xmlns="http://schemas.openxmlformats.org/spreadsheetml/2006/main" count="27" uniqueCount="27">
  <si>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</si>
  <si>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</si>
  <si>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</si>
  <si>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</si>
  <si>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</si>
  <si>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</si>
  <si>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</si>
  <si>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</si>
  <si>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</si>
  <si>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</si>
  <si>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</si>
  <si>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</si>
  <si>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</si>
  <si>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</si>
  <si>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</si>
  <si>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</si>
  <si>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</si>
  <si>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</si>
  <si>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</si>
  <si>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</si>
  <si>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</si>
  <si>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</si>
  <si>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</si>
  <si>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</si>
  <si>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</si>
  <si>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DepositedCashTDBank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</si>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</sst>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B8C6-DE4F-4256-9225-540ECE1A7F71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5" max="15" width="13.7109375" customWidth="1"/>
    <col min="16" max="16" width="11.710937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1133.3</v>
      </c>
      <c r="C2" s="8">
        <v>44.12</v>
      </c>
      <c r="D2" s="9">
        <v>75.069999999999993</v>
      </c>
      <c r="E2" s="9">
        <v>3</v>
      </c>
      <c r="F2" s="10">
        <f>SUM(B2:E2)</f>
        <v>1255.4899999999998</v>
      </c>
      <c r="G2" s="9">
        <v>120.29</v>
      </c>
      <c r="H2" s="9">
        <f>787.16-4.5</f>
        <v>782.66</v>
      </c>
      <c r="I2" s="9">
        <v>0</v>
      </c>
      <c r="J2" s="9">
        <v>271.02</v>
      </c>
      <c r="K2" s="9">
        <v>32.9</v>
      </c>
      <c r="L2" s="9">
        <v>48.62</v>
      </c>
      <c r="M2" s="9">
        <v>0</v>
      </c>
      <c r="N2" s="11">
        <f t="shared" ref="N2:N32" si="0">SUM(G2:M2)</f>
        <v>1255.4899999999998</v>
      </c>
      <c r="O2" s="12">
        <f t="shared" ref="O2:O32" si="1">+F2-N2</f>
        <v>0</v>
      </c>
      <c r="P2" s="9">
        <v>113</v>
      </c>
      <c r="Q2" s="13">
        <v>45841</v>
      </c>
      <c r="R2" s="14"/>
      <c r="S2" s="15">
        <f t="shared" ref="S2:S32" si="2">P2-G2-R2</f>
        <v>-7.2900000000000063</v>
      </c>
    </row>
    <row r="3" spans="1:19" x14ac:dyDescent="0.25">
      <c r="A3" s="7">
        <f>'[1]Cash Variance'!A4</f>
        <v>45840</v>
      </c>
      <c r="B3" s="8">
        <v>1055.8800000000001</v>
      </c>
      <c r="C3" s="8">
        <v>125.08</v>
      </c>
      <c r="D3" s="9">
        <v>69.95</v>
      </c>
      <c r="E3" s="9">
        <v>5.22</v>
      </c>
      <c r="F3" s="10">
        <f t="shared" ref="F3:F32" si="3">SUM(B3:E3)</f>
        <v>1256.1300000000001</v>
      </c>
      <c r="G3" s="9">
        <v>85.19</v>
      </c>
      <c r="H3" s="9">
        <f>577.57-5.31</f>
        <v>572.2600000000001</v>
      </c>
      <c r="I3" s="9">
        <v>54.22</v>
      </c>
      <c r="J3" s="9">
        <v>419.09</v>
      </c>
      <c r="K3" s="9">
        <v>0</v>
      </c>
      <c r="L3" s="9">
        <v>125.37</v>
      </c>
      <c r="M3" s="9">
        <v>0</v>
      </c>
      <c r="N3" s="11">
        <f t="shared" si="0"/>
        <v>1256.1300000000001</v>
      </c>
      <c r="O3" s="12">
        <f t="shared" si="1"/>
        <v>0</v>
      </c>
      <c r="P3" s="9">
        <v>86</v>
      </c>
      <c r="Q3" s="13">
        <v>45841</v>
      </c>
      <c r="R3" s="14"/>
      <c r="S3" s="15">
        <f t="shared" si="2"/>
        <v>0.81000000000000227</v>
      </c>
    </row>
    <row r="4" spans="1:19" x14ac:dyDescent="0.25">
      <c r="A4" s="7">
        <f>'[1]Cash Variance'!A5</f>
        <v>45841</v>
      </c>
      <c r="B4" s="8">
        <v>1731.99</v>
      </c>
      <c r="C4" s="8">
        <v>37.700000000000003</v>
      </c>
      <c r="D4" s="9">
        <v>114.74</v>
      </c>
      <c r="E4" s="9">
        <v>29.59</v>
      </c>
      <c r="F4" s="10">
        <f t="shared" si="3"/>
        <v>1914.02</v>
      </c>
      <c r="G4" s="9">
        <v>144.19</v>
      </c>
      <c r="H4" s="9">
        <f>1177.96-3.42</f>
        <v>1174.54</v>
      </c>
      <c r="I4" s="9">
        <v>32.479999999999997</v>
      </c>
      <c r="J4" s="9">
        <v>528.73</v>
      </c>
      <c r="K4" s="9">
        <v>19.940000000000001</v>
      </c>
      <c r="L4" s="9">
        <v>14.14</v>
      </c>
      <c r="M4" s="9">
        <v>0</v>
      </c>
      <c r="N4" s="11">
        <f t="shared" si="0"/>
        <v>1914.0200000000002</v>
      </c>
      <c r="O4" s="12">
        <f t="shared" si="1"/>
        <v>0</v>
      </c>
      <c r="P4" s="9">
        <v>145</v>
      </c>
      <c r="Q4" s="13">
        <v>45845</v>
      </c>
      <c r="R4" s="14"/>
      <c r="S4" s="15">
        <f t="shared" si="2"/>
        <v>0.81000000000000227</v>
      </c>
    </row>
    <row r="5" spans="1:19" x14ac:dyDescent="0.25">
      <c r="A5" s="7">
        <f>'[1]Cash Variance'!A6</f>
        <v>45842</v>
      </c>
      <c r="B5" s="8">
        <v>1334.36</v>
      </c>
      <c r="C5" s="8">
        <v>68.66</v>
      </c>
      <c r="D5" s="9">
        <v>88.42</v>
      </c>
      <c r="E5" s="9">
        <v>24.74</v>
      </c>
      <c r="F5" s="10">
        <f t="shared" si="3"/>
        <v>1516.18</v>
      </c>
      <c r="G5" s="9">
        <v>156.81</v>
      </c>
      <c r="H5" s="9">
        <v>720.23</v>
      </c>
      <c r="I5" s="9">
        <v>0</v>
      </c>
      <c r="J5" s="9">
        <v>578.84</v>
      </c>
      <c r="K5" s="9">
        <v>0</v>
      </c>
      <c r="L5" s="9">
        <v>60.58</v>
      </c>
      <c r="M5" s="9">
        <v>0</v>
      </c>
      <c r="N5" s="11">
        <f t="shared" si="0"/>
        <v>1516.46</v>
      </c>
      <c r="O5" s="12">
        <f t="shared" si="1"/>
        <v>-0.27999999999997272</v>
      </c>
      <c r="P5" s="9">
        <v>156</v>
      </c>
      <c r="Q5" s="13">
        <v>45845</v>
      </c>
      <c r="R5" s="14"/>
      <c r="S5" s="15">
        <f t="shared" si="2"/>
        <v>-0.81000000000000227</v>
      </c>
    </row>
    <row r="6" spans="1:19" x14ac:dyDescent="0.25">
      <c r="A6" s="7">
        <f>'[1]Cash Variance'!A7</f>
        <v>45843</v>
      </c>
      <c r="B6" s="8">
        <v>1504.55</v>
      </c>
      <c r="C6" s="8">
        <v>109.92</v>
      </c>
      <c r="D6" s="9">
        <v>99.68</v>
      </c>
      <c r="E6" s="9">
        <v>3</v>
      </c>
      <c r="F6" s="10">
        <f t="shared" si="3"/>
        <v>1717.15</v>
      </c>
      <c r="G6" s="9">
        <v>128.06</v>
      </c>
      <c r="H6" s="9">
        <f>981.18-3.24</f>
        <v>977.93999999999994</v>
      </c>
      <c r="I6" s="9">
        <v>0</v>
      </c>
      <c r="J6" s="9">
        <v>501.86</v>
      </c>
      <c r="K6" s="9">
        <v>27</v>
      </c>
      <c r="L6" s="9">
        <v>82.29</v>
      </c>
      <c r="M6" s="9">
        <v>0</v>
      </c>
      <c r="N6" s="11">
        <f t="shared" si="0"/>
        <v>1717.15</v>
      </c>
      <c r="O6" s="12">
        <f t="shared" si="1"/>
        <v>0</v>
      </c>
      <c r="P6" s="9">
        <v>128</v>
      </c>
      <c r="Q6" s="13">
        <v>45845</v>
      </c>
      <c r="R6" s="14"/>
      <c r="S6" s="15">
        <f t="shared" si="2"/>
        <v>-6.0000000000002274E-2</v>
      </c>
    </row>
    <row r="7" spans="1:19" x14ac:dyDescent="0.25">
      <c r="A7" s="7">
        <f>'[1]Cash Variance'!A8</f>
        <v>45844</v>
      </c>
      <c r="B7" s="8">
        <v>1636.04</v>
      </c>
      <c r="C7" s="8">
        <v>82.2</v>
      </c>
      <c r="D7" s="9">
        <v>108.44</v>
      </c>
      <c r="E7" s="9">
        <v>22.47</v>
      </c>
      <c r="F7" s="10">
        <f t="shared" si="3"/>
        <v>1849.15</v>
      </c>
      <c r="G7" s="9">
        <v>181.7</v>
      </c>
      <c r="H7" s="9">
        <f>1159.29-3.04</f>
        <v>1156.25</v>
      </c>
      <c r="I7" s="9">
        <v>0</v>
      </c>
      <c r="J7" s="9">
        <v>419.28</v>
      </c>
      <c r="K7" s="9">
        <v>20.37</v>
      </c>
      <c r="L7" s="9">
        <v>71.55</v>
      </c>
      <c r="M7" s="9">
        <v>0</v>
      </c>
      <c r="N7" s="11">
        <f t="shared" si="0"/>
        <v>1849.1499999999999</v>
      </c>
      <c r="O7" s="12">
        <f t="shared" si="1"/>
        <v>0</v>
      </c>
      <c r="P7" s="9">
        <v>181</v>
      </c>
      <c r="Q7" s="13">
        <v>45845</v>
      </c>
      <c r="R7" s="14"/>
      <c r="S7" s="15">
        <f t="shared" si="2"/>
        <v>-0.69999999999998863</v>
      </c>
    </row>
    <row r="8" spans="1:19" x14ac:dyDescent="0.25">
      <c r="A8" s="7">
        <f>'[1]Cash Variance'!A9</f>
        <v>45845</v>
      </c>
      <c r="B8" s="8">
        <v>678.67</v>
      </c>
      <c r="C8" s="8">
        <v>124.94</v>
      </c>
      <c r="D8" s="9">
        <v>44.96</v>
      </c>
      <c r="E8" s="9">
        <v>3.45</v>
      </c>
      <c r="F8" s="10">
        <f t="shared" si="3"/>
        <v>852.02</v>
      </c>
      <c r="G8" s="9">
        <v>97.9</v>
      </c>
      <c r="H8" s="9">
        <f>426.87-7.5</f>
        <v>419.37</v>
      </c>
      <c r="I8" s="9">
        <v>11.41</v>
      </c>
      <c r="J8" s="9">
        <v>188.38</v>
      </c>
      <c r="K8" s="9">
        <v>14</v>
      </c>
      <c r="L8" s="9">
        <v>120.96</v>
      </c>
      <c r="M8" s="9">
        <v>0</v>
      </c>
      <c r="N8" s="11">
        <f t="shared" si="0"/>
        <v>852.02</v>
      </c>
      <c r="O8" s="12">
        <f t="shared" si="1"/>
        <v>0</v>
      </c>
      <c r="P8" s="9">
        <v>98</v>
      </c>
      <c r="Q8" s="13">
        <v>45848</v>
      </c>
      <c r="R8" s="14"/>
      <c r="S8" s="15">
        <f t="shared" si="2"/>
        <v>9.9999999999994316E-2</v>
      </c>
    </row>
    <row r="9" spans="1:19" x14ac:dyDescent="0.25">
      <c r="A9" s="7">
        <f>'[1]Cash Variance'!A10</f>
        <v>45846</v>
      </c>
      <c r="B9" s="8">
        <v>1039.3399999999999</v>
      </c>
      <c r="C9" s="8">
        <v>48.71</v>
      </c>
      <c r="D9" s="16">
        <v>68.88</v>
      </c>
      <c r="E9" s="9">
        <v>27.74</v>
      </c>
      <c r="F9" s="10">
        <f t="shared" si="3"/>
        <v>1184.6699999999998</v>
      </c>
      <c r="G9" s="9">
        <v>150.44999999999999</v>
      </c>
      <c r="H9" s="9">
        <f>776.76-5.03</f>
        <v>771.73</v>
      </c>
      <c r="I9" s="9">
        <v>0</v>
      </c>
      <c r="J9" s="9">
        <v>199.66</v>
      </c>
      <c r="K9" s="9">
        <v>20.54</v>
      </c>
      <c r="L9" s="9">
        <v>42.29</v>
      </c>
      <c r="M9" s="9">
        <v>0</v>
      </c>
      <c r="N9" s="11">
        <f t="shared" si="0"/>
        <v>1184.67</v>
      </c>
      <c r="O9" s="12">
        <f t="shared" si="1"/>
        <v>0</v>
      </c>
      <c r="P9" s="9">
        <v>150</v>
      </c>
      <c r="Q9" s="13">
        <v>45848</v>
      </c>
      <c r="R9" s="14"/>
      <c r="S9" s="15">
        <f t="shared" si="2"/>
        <v>-0.44999999999998863</v>
      </c>
    </row>
    <row r="10" spans="1:19" x14ac:dyDescent="0.25">
      <c r="A10" s="7">
        <f>'[1]Cash Variance'!A11</f>
        <v>45847</v>
      </c>
      <c r="B10" s="8">
        <v>665.57</v>
      </c>
      <c r="C10" s="8">
        <v>73.709999999999994</v>
      </c>
      <c r="D10" s="16">
        <v>44.13</v>
      </c>
      <c r="E10" s="9">
        <v>4</v>
      </c>
      <c r="F10" s="10">
        <f t="shared" si="3"/>
        <v>787.41000000000008</v>
      </c>
      <c r="G10" s="9">
        <v>104.56</v>
      </c>
      <c r="H10" s="9">
        <f>391.94-4.5</f>
        <v>387.44</v>
      </c>
      <c r="I10" s="9">
        <v>6.87</v>
      </c>
      <c r="J10" s="9">
        <v>215.52</v>
      </c>
      <c r="K10" s="9">
        <v>0</v>
      </c>
      <c r="L10" s="9">
        <v>73.02</v>
      </c>
      <c r="M10" s="9">
        <v>0</v>
      </c>
      <c r="N10" s="11">
        <f t="shared" si="0"/>
        <v>787.41</v>
      </c>
      <c r="O10" s="12">
        <f t="shared" si="1"/>
        <v>0</v>
      </c>
      <c r="P10" s="9">
        <v>104</v>
      </c>
      <c r="Q10" s="13">
        <v>45848</v>
      </c>
      <c r="R10" s="14"/>
      <c r="S10" s="15">
        <f t="shared" si="2"/>
        <v>-0.56000000000000227</v>
      </c>
    </row>
    <row r="11" spans="1:19" x14ac:dyDescent="0.25">
      <c r="A11" s="7">
        <f>'[1]Cash Variance'!A12</f>
        <v>45848</v>
      </c>
      <c r="B11" s="8">
        <v>1166.2</v>
      </c>
      <c r="C11" s="8">
        <v>75.13</v>
      </c>
      <c r="D11" s="9">
        <v>77.27</v>
      </c>
      <c r="E11" s="9">
        <v>18.11</v>
      </c>
      <c r="F11" s="10">
        <f t="shared" si="3"/>
        <v>1336.7099999999998</v>
      </c>
      <c r="G11" s="9">
        <v>68.69</v>
      </c>
      <c r="H11" s="9">
        <f>834.59-3.13</f>
        <v>831.46</v>
      </c>
      <c r="I11" s="9">
        <v>10.65</v>
      </c>
      <c r="J11" s="9">
        <v>366.25</v>
      </c>
      <c r="K11" s="9">
        <v>0</v>
      </c>
      <c r="L11" s="9">
        <v>59.66</v>
      </c>
      <c r="M11" s="9">
        <v>0</v>
      </c>
      <c r="N11" s="11">
        <f t="shared" si="0"/>
        <v>1336.7100000000003</v>
      </c>
      <c r="O11" s="12">
        <f t="shared" si="1"/>
        <v>0</v>
      </c>
      <c r="P11" s="9">
        <v>69</v>
      </c>
      <c r="Q11" s="13">
        <v>45852</v>
      </c>
      <c r="R11" s="14"/>
      <c r="S11" s="15">
        <f t="shared" si="2"/>
        <v>0.31000000000000227</v>
      </c>
    </row>
    <row r="12" spans="1:19" x14ac:dyDescent="0.25">
      <c r="A12" s="7">
        <f>'[1]Cash Variance'!A13</f>
        <v>45849</v>
      </c>
      <c r="B12" s="8">
        <v>2426.06</v>
      </c>
      <c r="C12" s="8">
        <v>108.99</v>
      </c>
      <c r="D12" s="9">
        <v>160.72</v>
      </c>
      <c r="E12" s="9">
        <v>26.17</v>
      </c>
      <c r="F12" s="10">
        <f t="shared" si="3"/>
        <v>2721.9399999999996</v>
      </c>
      <c r="G12" s="9">
        <v>191.06</v>
      </c>
      <c r="H12" s="9">
        <f>1842.03-5.87</f>
        <v>1836.16</v>
      </c>
      <c r="I12" s="9">
        <v>44.72</v>
      </c>
      <c r="J12" s="9">
        <v>514.77</v>
      </c>
      <c r="K12" s="9">
        <v>38.71</v>
      </c>
      <c r="L12" s="9">
        <v>96.52</v>
      </c>
      <c r="M12" s="9">
        <v>0</v>
      </c>
      <c r="N12" s="11">
        <f t="shared" si="0"/>
        <v>2721.94</v>
      </c>
      <c r="O12" s="12">
        <f t="shared" si="1"/>
        <v>0</v>
      </c>
      <c r="P12" s="9">
        <v>112</v>
      </c>
      <c r="Q12" s="13">
        <v>45852</v>
      </c>
      <c r="R12" s="14"/>
      <c r="S12" s="15">
        <f t="shared" si="2"/>
        <v>-79.06</v>
      </c>
    </row>
    <row r="13" spans="1:19" x14ac:dyDescent="0.25">
      <c r="A13" s="7">
        <f>'[1]Cash Variance'!A14</f>
        <v>45850</v>
      </c>
      <c r="B13" s="8">
        <v>1358.03</v>
      </c>
      <c r="C13" s="8">
        <v>132.54</v>
      </c>
      <c r="D13" s="9">
        <v>90.01</v>
      </c>
      <c r="E13" s="9">
        <v>13.5</v>
      </c>
      <c r="F13" s="10">
        <f t="shared" si="3"/>
        <v>1594.08</v>
      </c>
      <c r="G13" s="9">
        <v>112.06</v>
      </c>
      <c r="H13" s="9">
        <f>935.74-13.35</f>
        <v>922.39</v>
      </c>
      <c r="I13" s="9">
        <v>0</v>
      </c>
      <c r="J13" s="9">
        <v>363.44</v>
      </c>
      <c r="K13" s="9">
        <v>75.260000000000005</v>
      </c>
      <c r="L13" s="9">
        <v>120.93</v>
      </c>
      <c r="M13" s="9">
        <v>0</v>
      </c>
      <c r="N13" s="11">
        <f t="shared" si="0"/>
        <v>1594.0800000000002</v>
      </c>
      <c r="O13" s="12">
        <f t="shared" si="1"/>
        <v>0</v>
      </c>
      <c r="P13" s="9">
        <v>153</v>
      </c>
      <c r="Q13" s="13">
        <v>45852</v>
      </c>
      <c r="R13" s="14"/>
      <c r="S13" s="15">
        <f t="shared" si="2"/>
        <v>40.94</v>
      </c>
    </row>
    <row r="14" spans="1:19" x14ac:dyDescent="0.25">
      <c r="A14" s="7">
        <f>'[1]Cash Variance'!A15</f>
        <v>45851</v>
      </c>
      <c r="B14" s="8">
        <v>1134.95</v>
      </c>
      <c r="C14" s="8">
        <v>100.94</v>
      </c>
      <c r="D14" s="9">
        <v>75.239999999999995</v>
      </c>
      <c r="E14" s="9">
        <v>19.97</v>
      </c>
      <c r="F14" s="10">
        <f t="shared" si="3"/>
        <v>1331.1000000000001</v>
      </c>
      <c r="G14" s="9">
        <v>153.69</v>
      </c>
      <c r="H14" s="9">
        <f>693.81-6.76</f>
        <v>687.05</v>
      </c>
      <c r="I14" s="9">
        <v>8.52</v>
      </c>
      <c r="J14" s="9">
        <v>348.27</v>
      </c>
      <c r="K14" s="9">
        <v>40.090000000000003</v>
      </c>
      <c r="L14" s="9">
        <v>93.48</v>
      </c>
      <c r="M14" s="9">
        <v>0</v>
      </c>
      <c r="N14" s="11">
        <f t="shared" si="0"/>
        <v>1331.1</v>
      </c>
      <c r="O14" s="12">
        <f t="shared" si="1"/>
        <v>0</v>
      </c>
      <c r="P14" s="9">
        <v>185</v>
      </c>
      <c r="Q14" s="13">
        <v>45852</v>
      </c>
      <c r="R14" s="14"/>
      <c r="S14" s="15">
        <f t="shared" si="2"/>
        <v>31.310000000000002</v>
      </c>
    </row>
    <row r="15" spans="1:19" x14ac:dyDescent="0.25">
      <c r="A15" s="7">
        <f>'[1]Cash Variance'!A16</f>
        <v>45852</v>
      </c>
      <c r="B15" s="8">
        <v>1030.4000000000001</v>
      </c>
      <c r="C15" s="8">
        <v>33.6</v>
      </c>
      <c r="D15" s="17">
        <v>68.28</v>
      </c>
      <c r="E15" s="9">
        <v>3</v>
      </c>
      <c r="F15" s="10">
        <f t="shared" si="3"/>
        <v>1135.28</v>
      </c>
      <c r="G15" s="9">
        <v>121.78</v>
      </c>
      <c r="H15" s="9">
        <f>719.4-4.96</f>
        <v>714.43999999999994</v>
      </c>
      <c r="I15" s="9">
        <v>45.79</v>
      </c>
      <c r="J15" s="9">
        <v>210.16</v>
      </c>
      <c r="K15" s="9">
        <v>14</v>
      </c>
      <c r="L15" s="9">
        <v>29.11</v>
      </c>
      <c r="M15" s="9">
        <v>0</v>
      </c>
      <c r="N15" s="11">
        <f t="shared" si="0"/>
        <v>1135.2799999999997</v>
      </c>
      <c r="O15" s="12">
        <f t="shared" si="1"/>
        <v>0</v>
      </c>
      <c r="P15" s="9">
        <v>122</v>
      </c>
      <c r="Q15" s="13">
        <v>45859</v>
      </c>
      <c r="R15" s="14"/>
      <c r="S15" s="15">
        <f t="shared" si="2"/>
        <v>0.21999999999999886</v>
      </c>
    </row>
    <row r="16" spans="1:19" x14ac:dyDescent="0.25">
      <c r="A16" s="7">
        <f>'[1]Cash Variance'!A17</f>
        <v>45853</v>
      </c>
      <c r="B16" s="8">
        <v>1202.01</v>
      </c>
      <c r="C16" s="8">
        <v>60.31</v>
      </c>
      <c r="D16" s="17">
        <v>79.62</v>
      </c>
      <c r="E16" s="17">
        <v>14.3</v>
      </c>
      <c r="F16" s="10">
        <f t="shared" si="3"/>
        <v>1356.24</v>
      </c>
      <c r="G16" s="17">
        <v>262.45</v>
      </c>
      <c r="H16" s="17">
        <f>731.47-2.48</f>
        <v>728.99</v>
      </c>
      <c r="I16" s="17">
        <v>0</v>
      </c>
      <c r="J16" s="17">
        <v>303.29000000000002</v>
      </c>
      <c r="K16" s="17">
        <v>0</v>
      </c>
      <c r="L16" s="17">
        <v>61.51</v>
      </c>
      <c r="M16" s="9">
        <v>0</v>
      </c>
      <c r="N16" s="11">
        <f t="shared" si="0"/>
        <v>1356.24</v>
      </c>
      <c r="O16" s="12">
        <f t="shared" si="1"/>
        <v>0</v>
      </c>
      <c r="P16" s="9">
        <v>263</v>
      </c>
      <c r="Q16" s="13">
        <v>45859</v>
      </c>
      <c r="R16" s="14"/>
      <c r="S16" s="15">
        <f t="shared" si="2"/>
        <v>0.55000000000001137</v>
      </c>
    </row>
    <row r="17" spans="1:19" x14ac:dyDescent="0.25">
      <c r="A17" s="7">
        <f>'[1]Cash Variance'!A18</f>
        <v>45854</v>
      </c>
      <c r="B17" s="8">
        <v>1042.23</v>
      </c>
      <c r="C17" s="8">
        <v>81.02</v>
      </c>
      <c r="D17" s="17">
        <v>69.069999999999993</v>
      </c>
      <c r="E17" s="17">
        <v>14.76</v>
      </c>
      <c r="F17" s="10">
        <f t="shared" si="3"/>
        <v>1207.08</v>
      </c>
      <c r="G17" s="17">
        <v>130.22</v>
      </c>
      <c r="H17" s="17">
        <f>768.3-5</f>
        <v>763.3</v>
      </c>
      <c r="I17" s="17">
        <v>0</v>
      </c>
      <c r="J17" s="17">
        <v>237.04</v>
      </c>
      <c r="K17" s="17">
        <v>0</v>
      </c>
      <c r="L17" s="17">
        <v>76.52</v>
      </c>
      <c r="M17" s="9">
        <v>0</v>
      </c>
      <c r="N17" s="11">
        <f t="shared" si="0"/>
        <v>1207.08</v>
      </c>
      <c r="O17" s="12">
        <f t="shared" si="1"/>
        <v>0</v>
      </c>
      <c r="P17" s="9">
        <v>126</v>
      </c>
      <c r="Q17" s="13">
        <v>45859</v>
      </c>
      <c r="R17" s="14"/>
      <c r="S17" s="15">
        <f t="shared" si="2"/>
        <v>-4.2199999999999989</v>
      </c>
    </row>
    <row r="18" spans="1:19" x14ac:dyDescent="0.25">
      <c r="A18" s="7">
        <f>'[1]Cash Variance'!A19</f>
        <v>45855</v>
      </c>
      <c r="B18" s="8">
        <v>1543.42</v>
      </c>
      <c r="C18" s="8">
        <v>146.74</v>
      </c>
      <c r="D18" s="17">
        <v>102.29</v>
      </c>
      <c r="E18" s="17">
        <v>4.01</v>
      </c>
      <c r="F18" s="10">
        <f t="shared" si="3"/>
        <v>1796.46</v>
      </c>
      <c r="G18" s="17">
        <v>269.14999999999998</v>
      </c>
      <c r="H18" s="17">
        <f>891.98-5.57</f>
        <v>886.41</v>
      </c>
      <c r="I18" s="17">
        <v>0</v>
      </c>
      <c r="J18" s="17">
        <v>470.52</v>
      </c>
      <c r="K18" s="17">
        <v>32.14</v>
      </c>
      <c r="L18" s="17">
        <v>138.24</v>
      </c>
      <c r="M18" s="9">
        <v>0</v>
      </c>
      <c r="N18" s="11">
        <f t="shared" si="0"/>
        <v>1796.46</v>
      </c>
      <c r="O18" s="12">
        <f t="shared" si="1"/>
        <v>0</v>
      </c>
      <c r="P18" s="9">
        <v>247</v>
      </c>
      <c r="Q18" s="13">
        <v>45859</v>
      </c>
      <c r="R18" s="14"/>
      <c r="S18" s="15">
        <f t="shared" si="2"/>
        <v>-22.149999999999977</v>
      </c>
    </row>
    <row r="19" spans="1:19" x14ac:dyDescent="0.25">
      <c r="A19" s="7">
        <f>'[1]Cash Variance'!A20</f>
        <v>45856</v>
      </c>
      <c r="B19" s="8">
        <v>1847.92</v>
      </c>
      <c r="C19" s="8">
        <v>31.89</v>
      </c>
      <c r="D19" s="9">
        <v>122.42</v>
      </c>
      <c r="E19" s="9">
        <v>10.55</v>
      </c>
      <c r="F19" s="10">
        <f t="shared" si="3"/>
        <v>2012.7800000000002</v>
      </c>
      <c r="G19" s="9">
        <v>138.62</v>
      </c>
      <c r="H19" s="9">
        <v>1188.9100000000001</v>
      </c>
      <c r="I19" s="9">
        <v>28.75</v>
      </c>
      <c r="J19" s="9">
        <v>499.05</v>
      </c>
      <c r="K19" s="9">
        <v>158.36000000000001</v>
      </c>
      <c r="L19" s="9">
        <v>0</v>
      </c>
      <c r="M19" s="9">
        <v>0</v>
      </c>
      <c r="N19" s="11">
        <f t="shared" si="0"/>
        <v>2013.69</v>
      </c>
      <c r="O19" s="12">
        <f t="shared" si="1"/>
        <v>-0.90999999999985448</v>
      </c>
      <c r="P19" s="9">
        <v>138</v>
      </c>
      <c r="Q19" s="13">
        <v>45859</v>
      </c>
      <c r="R19" s="14"/>
      <c r="S19" s="15">
        <f t="shared" si="2"/>
        <v>-0.62000000000000455</v>
      </c>
    </row>
    <row r="20" spans="1:19" x14ac:dyDescent="0.25">
      <c r="A20" s="7">
        <f>'[1]Cash Variance'!A21</f>
        <v>45857</v>
      </c>
      <c r="B20" s="8">
        <v>1429.08</v>
      </c>
      <c r="C20" s="8">
        <v>11.85</v>
      </c>
      <c r="D20" s="9">
        <v>94.69</v>
      </c>
      <c r="E20" s="9">
        <v>15.78</v>
      </c>
      <c r="F20" s="10">
        <f t="shared" si="3"/>
        <v>1551.3999999999999</v>
      </c>
      <c r="G20" s="9">
        <v>267.75</v>
      </c>
      <c r="H20" s="9">
        <v>818.96</v>
      </c>
      <c r="I20" s="9">
        <v>0</v>
      </c>
      <c r="J20" s="9">
        <v>454.79</v>
      </c>
      <c r="K20" s="9">
        <v>10.18</v>
      </c>
      <c r="L20" s="9">
        <v>0</v>
      </c>
      <c r="M20" s="9">
        <v>0</v>
      </c>
      <c r="N20" s="11">
        <f t="shared" si="0"/>
        <v>1551.68</v>
      </c>
      <c r="O20" s="12">
        <f t="shared" si="1"/>
        <v>-0.28000000000020009</v>
      </c>
      <c r="P20" s="9">
        <v>270</v>
      </c>
      <c r="Q20" s="13">
        <v>45859</v>
      </c>
      <c r="R20" s="14"/>
      <c r="S20" s="15">
        <f t="shared" si="2"/>
        <v>2.25</v>
      </c>
    </row>
    <row r="21" spans="1:19" x14ac:dyDescent="0.25">
      <c r="A21" s="7">
        <f>'[1]Cash Variance'!A22</f>
        <v>45858</v>
      </c>
      <c r="B21" s="8">
        <v>1476.33</v>
      </c>
      <c r="C21" s="8">
        <v>34.08</v>
      </c>
      <c r="D21" s="9">
        <v>97.84</v>
      </c>
      <c r="E21" s="9">
        <v>20.190000000000001</v>
      </c>
      <c r="F21" s="10">
        <f t="shared" si="3"/>
        <v>1628.4399999999998</v>
      </c>
      <c r="G21" s="9">
        <v>246.96</v>
      </c>
      <c r="H21" s="9">
        <v>975.49</v>
      </c>
      <c r="I21" s="9">
        <v>0</v>
      </c>
      <c r="J21" s="9">
        <v>365.07</v>
      </c>
      <c r="K21" s="9">
        <v>16.82</v>
      </c>
      <c r="L21" s="9">
        <v>24.38</v>
      </c>
      <c r="M21" s="9">
        <v>0</v>
      </c>
      <c r="N21" s="11">
        <f t="shared" si="0"/>
        <v>1628.72</v>
      </c>
      <c r="O21" s="12">
        <f t="shared" si="1"/>
        <v>-0.28000000000020009</v>
      </c>
      <c r="P21" s="9">
        <v>268</v>
      </c>
      <c r="Q21" s="13">
        <v>45859</v>
      </c>
      <c r="R21" s="14"/>
      <c r="S21" s="15">
        <f t="shared" si="2"/>
        <v>21.039999999999992</v>
      </c>
    </row>
    <row r="22" spans="1:19" x14ac:dyDescent="0.25">
      <c r="A22" s="7">
        <f>'[1]Cash Variance'!A23</f>
        <v>45859</v>
      </c>
      <c r="B22" s="8">
        <v>946.06</v>
      </c>
      <c r="C22" s="8">
        <v>151.68</v>
      </c>
      <c r="D22" s="9">
        <v>62.68</v>
      </c>
      <c r="E22" s="17">
        <v>6.68</v>
      </c>
      <c r="F22" s="10">
        <f t="shared" si="3"/>
        <v>1167.1000000000001</v>
      </c>
      <c r="G22" s="9">
        <v>198.03</v>
      </c>
      <c r="H22" s="9">
        <v>562.28</v>
      </c>
      <c r="I22" s="9">
        <v>17.04</v>
      </c>
      <c r="J22" s="9">
        <v>241.93</v>
      </c>
      <c r="K22" s="9">
        <v>11.45</v>
      </c>
      <c r="L22" s="9">
        <v>136.97999999999999</v>
      </c>
      <c r="M22" s="9">
        <v>0</v>
      </c>
      <c r="N22" s="11">
        <f t="shared" si="0"/>
        <v>1167.71</v>
      </c>
      <c r="O22" s="12">
        <f t="shared" si="1"/>
        <v>-0.60999999999989996</v>
      </c>
      <c r="P22" s="9">
        <v>198</v>
      </c>
      <c r="Q22" s="13">
        <v>45862</v>
      </c>
      <c r="R22" s="18"/>
      <c r="S22" s="15">
        <f t="shared" si="2"/>
        <v>-3.0000000000001137E-2</v>
      </c>
    </row>
    <row r="23" spans="1:19" x14ac:dyDescent="0.25">
      <c r="A23" s="7">
        <f>'[1]Cash Variance'!A24</f>
        <v>45860</v>
      </c>
      <c r="B23" s="8">
        <v>1287.51</v>
      </c>
      <c r="C23" s="8">
        <v>89.62</v>
      </c>
      <c r="D23" s="9">
        <v>85.31</v>
      </c>
      <c r="E23" s="17">
        <v>0</v>
      </c>
      <c r="F23" s="10">
        <f t="shared" si="3"/>
        <v>1462.44</v>
      </c>
      <c r="G23" s="9">
        <v>178.35</v>
      </c>
      <c r="H23" s="9">
        <f>680.15-2.56</f>
        <v>677.59</v>
      </c>
      <c r="I23" s="9">
        <v>6.92</v>
      </c>
      <c r="J23" s="9">
        <v>496.14</v>
      </c>
      <c r="K23" s="9">
        <v>42.28</v>
      </c>
      <c r="L23" s="9">
        <v>61.16</v>
      </c>
      <c r="M23" s="9">
        <v>0</v>
      </c>
      <c r="N23" s="11">
        <f t="shared" si="0"/>
        <v>1462.44</v>
      </c>
      <c r="O23" s="12">
        <f t="shared" si="1"/>
        <v>0</v>
      </c>
      <c r="P23" s="9">
        <v>178</v>
      </c>
      <c r="Q23" s="13">
        <v>45862</v>
      </c>
      <c r="R23" s="14"/>
      <c r="S23" s="15">
        <f t="shared" si="2"/>
        <v>-0.34999999999999432</v>
      </c>
    </row>
    <row r="24" spans="1:19" x14ac:dyDescent="0.25">
      <c r="A24" s="7">
        <f>'[1]Cash Variance'!A25</f>
        <v>45861</v>
      </c>
      <c r="B24" s="8">
        <v>1311.48</v>
      </c>
      <c r="C24" s="8">
        <v>36.26</v>
      </c>
      <c r="D24" s="9">
        <v>86.89</v>
      </c>
      <c r="E24" s="9">
        <v>5.2</v>
      </c>
      <c r="F24" s="10">
        <f t="shared" si="3"/>
        <v>1439.8300000000002</v>
      </c>
      <c r="G24" s="9">
        <v>165.48</v>
      </c>
      <c r="H24" s="9">
        <f>713.09-3.02</f>
        <v>710.07</v>
      </c>
      <c r="I24" s="9">
        <v>2.14</v>
      </c>
      <c r="J24" s="9">
        <v>509.73</v>
      </c>
      <c r="K24" s="9">
        <v>35.35</v>
      </c>
      <c r="L24" s="9">
        <v>17.059999999999999</v>
      </c>
      <c r="M24" s="9">
        <v>0</v>
      </c>
      <c r="N24" s="11">
        <f t="shared" si="0"/>
        <v>1439.83</v>
      </c>
      <c r="O24" s="12">
        <f t="shared" si="1"/>
        <v>0</v>
      </c>
      <c r="P24" s="9">
        <v>165</v>
      </c>
      <c r="Q24" s="13">
        <v>45862</v>
      </c>
      <c r="R24" s="14"/>
      <c r="S24" s="15">
        <f t="shared" si="2"/>
        <v>-0.47999999999998977</v>
      </c>
    </row>
    <row r="25" spans="1:19" x14ac:dyDescent="0.25">
      <c r="A25" s="7">
        <f>'[1]Cash Variance'!A26</f>
        <v>45862</v>
      </c>
      <c r="B25" s="8">
        <v>967.56</v>
      </c>
      <c r="C25" s="8">
        <v>8.8000000000000007</v>
      </c>
      <c r="D25" s="9">
        <v>64.099999999999994</v>
      </c>
      <c r="E25" s="9">
        <v>2</v>
      </c>
      <c r="F25" s="10">
        <f t="shared" si="3"/>
        <v>1042.4599999999998</v>
      </c>
      <c r="G25" s="9">
        <v>223.39</v>
      </c>
      <c r="H25" s="9">
        <f>484.54-2.68</f>
        <v>481.86</v>
      </c>
      <c r="I25" s="9">
        <v>0</v>
      </c>
      <c r="J25" s="9">
        <v>337.21</v>
      </c>
      <c r="K25" s="9">
        <v>0</v>
      </c>
      <c r="L25" s="9">
        <v>0</v>
      </c>
      <c r="M25" s="9">
        <v>0</v>
      </c>
      <c r="N25" s="11">
        <f t="shared" si="0"/>
        <v>1042.46</v>
      </c>
      <c r="O25" s="12">
        <f t="shared" si="1"/>
        <v>0</v>
      </c>
      <c r="P25" s="9"/>
      <c r="Q25" s="13"/>
      <c r="R25" s="14"/>
      <c r="S25" s="15">
        <f t="shared" si="2"/>
        <v>-223.39</v>
      </c>
    </row>
    <row r="26" spans="1:19" x14ac:dyDescent="0.25">
      <c r="A26" s="7">
        <f>'[1]Cash Variance'!A27</f>
        <v>45863</v>
      </c>
      <c r="B26" s="8">
        <v>1751.68</v>
      </c>
      <c r="C26" s="8">
        <v>200.49</v>
      </c>
      <c r="D26" s="9">
        <v>116.06</v>
      </c>
      <c r="E26" s="9">
        <v>18.28</v>
      </c>
      <c r="F26" s="10">
        <f t="shared" si="3"/>
        <v>2086.5100000000002</v>
      </c>
      <c r="G26" s="9">
        <v>288.60000000000002</v>
      </c>
      <c r="H26" s="9">
        <f>1068.56-5.13</f>
        <v>1063.4299999999998</v>
      </c>
      <c r="I26" s="9">
        <v>1.07</v>
      </c>
      <c r="J26" s="9">
        <v>520.16</v>
      </c>
      <c r="K26" s="9">
        <v>33.340000000000003</v>
      </c>
      <c r="L26" s="9">
        <v>159.91</v>
      </c>
      <c r="M26" s="9">
        <v>20</v>
      </c>
      <c r="N26" s="11">
        <f t="shared" si="0"/>
        <v>2086.5099999999998</v>
      </c>
      <c r="O26" s="12">
        <f t="shared" si="1"/>
        <v>0</v>
      </c>
      <c r="P26" s="9"/>
      <c r="Q26" s="13"/>
      <c r="R26" s="14"/>
      <c r="S26" s="15">
        <f t="shared" si="2"/>
        <v>-288.60000000000002</v>
      </c>
    </row>
    <row r="27" spans="1:19" x14ac:dyDescent="0.25">
      <c r="A27" s="7">
        <f>'[1]Cash Variance'!A28</f>
        <v>45864</v>
      </c>
      <c r="B27" s="8">
        <v>1820.09</v>
      </c>
      <c r="C27" s="8">
        <v>81.95</v>
      </c>
      <c r="D27" s="9">
        <v>120.58</v>
      </c>
      <c r="E27" s="9">
        <v>18.18</v>
      </c>
      <c r="F27" s="10">
        <f t="shared" si="3"/>
        <v>2040.8</v>
      </c>
      <c r="G27" s="9">
        <v>216.91</v>
      </c>
      <c r="H27" s="9">
        <f>1094.37-3.83</f>
        <v>1090.54</v>
      </c>
      <c r="I27" s="9">
        <v>33.54</v>
      </c>
      <c r="J27" s="9">
        <v>549.86</v>
      </c>
      <c r="K27" s="9">
        <v>91.21</v>
      </c>
      <c r="L27" s="9">
        <v>58.74</v>
      </c>
      <c r="M27" s="9">
        <v>0</v>
      </c>
      <c r="N27" s="11">
        <f t="shared" si="0"/>
        <v>2040.8</v>
      </c>
      <c r="O27" s="12">
        <f t="shared" si="1"/>
        <v>0</v>
      </c>
      <c r="P27" s="9"/>
      <c r="Q27" s="13"/>
      <c r="R27" s="14"/>
      <c r="S27" s="15">
        <f t="shared" si="2"/>
        <v>-216.91</v>
      </c>
    </row>
    <row r="28" spans="1:19" x14ac:dyDescent="0.25">
      <c r="A28" s="7">
        <f>'[1]Cash Variance'!A29</f>
        <v>45865</v>
      </c>
      <c r="B28" s="8">
        <v>1106.31</v>
      </c>
      <c r="C28" s="8">
        <v>127.21</v>
      </c>
      <c r="D28" s="9">
        <v>73.319999999999993</v>
      </c>
      <c r="E28" s="9">
        <v>24.39</v>
      </c>
      <c r="F28" s="10">
        <f t="shared" si="3"/>
        <v>1331.23</v>
      </c>
      <c r="G28" s="9">
        <v>140.05000000000001</v>
      </c>
      <c r="H28" s="9">
        <f>742-2.37</f>
        <v>739.63</v>
      </c>
      <c r="I28" s="9">
        <v>2.14</v>
      </c>
      <c r="J28" s="9">
        <v>316.81</v>
      </c>
      <c r="K28" s="9">
        <v>17.18</v>
      </c>
      <c r="L28" s="9">
        <v>115.42</v>
      </c>
      <c r="M28" s="9">
        <v>0</v>
      </c>
      <c r="N28" s="11">
        <f t="shared" si="0"/>
        <v>1331.2300000000002</v>
      </c>
      <c r="O28" s="12">
        <f t="shared" si="1"/>
        <v>0</v>
      </c>
      <c r="P28" s="9"/>
      <c r="Q28" s="13"/>
      <c r="R28" s="14"/>
      <c r="S28" s="15">
        <f t="shared" si="2"/>
        <v>-140.05000000000001</v>
      </c>
    </row>
    <row r="29" spans="1:19" x14ac:dyDescent="0.25">
      <c r="A29" s="7">
        <f>'[1]Cash Variance'!A30</f>
        <v>45866</v>
      </c>
      <c r="B29" s="8">
        <v>938.52</v>
      </c>
      <c r="C29" s="8">
        <v>12.18</v>
      </c>
      <c r="D29" s="9">
        <v>62.23</v>
      </c>
      <c r="E29" s="9">
        <v>7.33</v>
      </c>
      <c r="F29" s="10">
        <f t="shared" si="3"/>
        <v>1020.26</v>
      </c>
      <c r="G29" s="9">
        <v>117.09</v>
      </c>
      <c r="H29" s="9">
        <v>643.97</v>
      </c>
      <c r="I29" s="9">
        <v>0</v>
      </c>
      <c r="J29" s="9">
        <v>219.13</v>
      </c>
      <c r="K29" s="9">
        <v>40.020000000000003</v>
      </c>
      <c r="L29" s="9">
        <v>0</v>
      </c>
      <c r="M29" s="9">
        <v>0</v>
      </c>
      <c r="N29" s="11">
        <f t="shared" si="0"/>
        <v>1020.21</v>
      </c>
      <c r="O29" s="12">
        <f t="shared" si="1"/>
        <v>4.9999999999954525E-2</v>
      </c>
      <c r="P29" s="9"/>
      <c r="Q29" s="13"/>
      <c r="R29" s="14"/>
      <c r="S29" s="15">
        <f t="shared" si="2"/>
        <v>-117.09</v>
      </c>
    </row>
    <row r="30" spans="1:19" x14ac:dyDescent="0.25">
      <c r="A30" s="7">
        <f>'[1]Cash Variance'!A31</f>
        <v>45867</v>
      </c>
      <c r="B30" s="8">
        <v>1140.8800000000001</v>
      </c>
      <c r="C30" s="8">
        <v>153.07</v>
      </c>
      <c r="D30" s="9">
        <v>75.61</v>
      </c>
      <c r="E30" s="9">
        <v>20.73</v>
      </c>
      <c r="F30" s="10">
        <f t="shared" si="3"/>
        <v>1390.29</v>
      </c>
      <c r="G30" s="9">
        <v>195.12</v>
      </c>
      <c r="H30" s="9">
        <v>812.04</v>
      </c>
      <c r="I30" s="9">
        <v>17.04</v>
      </c>
      <c r="J30" s="9">
        <v>173.15</v>
      </c>
      <c r="K30" s="9">
        <v>63.56</v>
      </c>
      <c r="L30" s="9">
        <v>130.07</v>
      </c>
      <c r="M30" s="9">
        <v>0</v>
      </c>
      <c r="N30" s="11">
        <f t="shared" si="0"/>
        <v>1390.98</v>
      </c>
      <c r="O30" s="12">
        <f t="shared" si="1"/>
        <v>-0.69000000000005457</v>
      </c>
      <c r="P30" s="9"/>
      <c r="Q30" s="13"/>
      <c r="R30" s="14"/>
      <c r="S30" s="15">
        <f t="shared" si="2"/>
        <v>-195.12</v>
      </c>
    </row>
    <row r="31" spans="1:19" x14ac:dyDescent="0.25">
      <c r="A31" s="7">
        <f>'[1]Cash Variance'!A32</f>
        <v>45868</v>
      </c>
      <c r="B31" s="8">
        <v>1420.17</v>
      </c>
      <c r="C31" s="8">
        <v>59.81</v>
      </c>
      <c r="D31" s="9">
        <v>94.1</v>
      </c>
      <c r="E31" s="9">
        <v>11.12</v>
      </c>
      <c r="F31" s="10">
        <f t="shared" si="3"/>
        <v>1585.1999999999998</v>
      </c>
      <c r="G31" s="9">
        <v>162.08000000000001</v>
      </c>
      <c r="H31" s="9">
        <v>881.57</v>
      </c>
      <c r="I31" s="9">
        <v>0</v>
      </c>
      <c r="J31" s="9">
        <v>437.34</v>
      </c>
      <c r="K31" s="9">
        <v>53.17</v>
      </c>
      <c r="L31" s="9">
        <v>31.69</v>
      </c>
      <c r="M31" s="9">
        <v>20</v>
      </c>
      <c r="N31" s="11">
        <f t="shared" si="0"/>
        <v>1585.8500000000001</v>
      </c>
      <c r="O31" s="12">
        <f t="shared" si="1"/>
        <v>-0.65000000000031832</v>
      </c>
      <c r="P31" s="9"/>
      <c r="Q31" s="13"/>
      <c r="R31" s="14"/>
      <c r="S31" s="15">
        <f t="shared" si="2"/>
        <v>-162.08000000000001</v>
      </c>
    </row>
    <row r="32" spans="1:19" ht="15.75" thickBot="1" x14ac:dyDescent="0.3">
      <c r="A32" s="7">
        <f>'[1]Cash Variance'!A33</f>
        <v>45869</v>
      </c>
      <c r="B32" s="8">
        <v>1000.9</v>
      </c>
      <c r="C32" s="8">
        <v>41.01</v>
      </c>
      <c r="D32" s="9">
        <v>66.319999999999993</v>
      </c>
      <c r="E32" s="9">
        <v>9.7899999999999991</v>
      </c>
      <c r="F32" s="10">
        <f t="shared" si="3"/>
        <v>1118.02</v>
      </c>
      <c r="G32" s="9">
        <v>132.30000000000001</v>
      </c>
      <c r="H32" s="9">
        <v>688.09</v>
      </c>
      <c r="I32" s="9">
        <v>0</v>
      </c>
      <c r="J32" s="9">
        <v>252.05</v>
      </c>
      <c r="K32" s="9">
        <v>24.19</v>
      </c>
      <c r="L32" s="9">
        <v>21.94</v>
      </c>
      <c r="M32" s="9">
        <v>0</v>
      </c>
      <c r="N32" s="11">
        <f t="shared" si="0"/>
        <v>1118.5700000000002</v>
      </c>
      <c r="O32" s="12">
        <f t="shared" si="1"/>
        <v>-0.5500000000001819</v>
      </c>
      <c r="P32" s="9"/>
      <c r="Q32" s="13"/>
      <c r="R32" s="14"/>
      <c r="S32" s="15">
        <f t="shared" si="2"/>
        <v>-132.30000000000001</v>
      </c>
    </row>
    <row r="33" spans="1:19" ht="15.75" thickBot="1" x14ac:dyDescent="0.3">
      <c r="A33" s="19" t="s">
        <v>8</v>
      </c>
      <c r="B33" s="20">
        <f t="shared" ref="B33:M33" si="4">SUM(B2:B32)</f>
        <v>40127.489999999991</v>
      </c>
      <c r="C33" s="20">
        <f t="shared" si="4"/>
        <v>2494.21</v>
      </c>
      <c r="D33" s="20">
        <f t="shared" si="4"/>
        <v>2658.92</v>
      </c>
      <c r="E33" s="20">
        <f>SUM(E2:E32)</f>
        <v>407.25000000000006</v>
      </c>
      <c r="F33" s="21">
        <f>SUM(F2:F32)</f>
        <v>45687.869999999995</v>
      </c>
      <c r="G33" s="20">
        <f t="shared" si="4"/>
        <v>5148.9799999999996</v>
      </c>
      <c r="H33" s="20">
        <f>SUM(H2:H32)</f>
        <v>25667.050000000003</v>
      </c>
      <c r="I33" s="20">
        <f t="shared" si="4"/>
        <v>323.3</v>
      </c>
      <c r="J33" s="20">
        <f t="shared" si="4"/>
        <v>11508.539999999995</v>
      </c>
      <c r="K33" s="20">
        <f t="shared" si="4"/>
        <v>932.06000000000006</v>
      </c>
      <c r="L33" s="20">
        <f t="shared" si="4"/>
        <v>2072.14</v>
      </c>
      <c r="M33" s="20">
        <f t="shared" si="4"/>
        <v>40</v>
      </c>
      <c r="N33" s="21">
        <f>SUM(N2:N32)</f>
        <v>45692.070000000007</v>
      </c>
      <c r="O33" s="21">
        <f t="shared" ref="O33:R33" si="5">SUM(O2:O32)</f>
        <v>-4.2000000000007276</v>
      </c>
      <c r="P33" s="20">
        <f>SUM(P2:P32)</f>
        <v>3655</v>
      </c>
      <c r="Q33" s="20"/>
      <c r="R33" s="20">
        <f t="shared" si="5"/>
        <v>0</v>
      </c>
      <c r="S33" s="21">
        <f>SUM(S2:S32)</f>
        <v>-1493.9799999999998</v>
      </c>
    </row>
    <row r="34" spans="1:19" x14ac:dyDescent="0.25">
      <c r="A34" s="22" t="s">
        <v>0</v>
      </c>
      <c r="B34" s="23">
        <f>+B33</f>
        <v>40127.489999999991</v>
      </c>
      <c r="C34" s="23">
        <f>+C33</f>
        <v>2494.21</v>
      </c>
      <c r="D34" s="23">
        <f>+D33</f>
        <v>2658.92</v>
      </c>
      <c r="E34" s="23">
        <f>+E33</f>
        <v>407.25000000000006</v>
      </c>
      <c r="F34" s="22"/>
      <c r="G34" s="23">
        <f>+G33</f>
        <v>5148.9799999999996</v>
      </c>
      <c r="H34" s="22"/>
      <c r="I34" s="22"/>
      <c r="J34" s="23">
        <f>+J33</f>
        <v>11508.539999999995</v>
      </c>
      <c r="K34" s="23">
        <f>+K33</f>
        <v>932.06000000000006</v>
      </c>
      <c r="L34" s="23">
        <f>+L33</f>
        <v>2072.14</v>
      </c>
      <c r="M34" s="23">
        <f>+M33</f>
        <v>40</v>
      </c>
      <c r="N34" s="22"/>
      <c r="O34" s="22"/>
      <c r="P34" s="22"/>
      <c r="Q34" s="22"/>
      <c r="R34" s="22"/>
      <c r="S34" s="22"/>
    </row>
    <row r="35" spans="1:19" x14ac:dyDescent="0.25">
      <c r="A35" s="24" t="s">
        <v>9</v>
      </c>
      <c r="B35" s="25">
        <f>+B33</f>
        <v>40127.489999999991</v>
      </c>
      <c r="C35" s="25">
        <f>+C33</f>
        <v>2494.21</v>
      </c>
      <c r="D35" s="25">
        <f>+D33</f>
        <v>2658.92</v>
      </c>
      <c r="E35" s="25">
        <f>+E33</f>
        <v>407.25000000000006</v>
      </c>
      <c r="F35" s="24"/>
      <c r="G35" s="25">
        <f>+G33</f>
        <v>5148.9799999999996</v>
      </c>
      <c r="H35" s="24"/>
      <c r="I35" s="24"/>
      <c r="J35" s="25">
        <f>+J33</f>
        <v>11508.539999999995</v>
      </c>
      <c r="K35" s="25">
        <f>+K33</f>
        <v>932.06000000000006</v>
      </c>
      <c r="L35" s="25">
        <f>+L33</f>
        <v>2072.14</v>
      </c>
      <c r="M35" s="25">
        <f>+M33</f>
        <v>40</v>
      </c>
      <c r="N35" s="24"/>
      <c r="O35" s="24"/>
      <c r="P35" s="24"/>
      <c r="Q35" s="26"/>
      <c r="R35" s="24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33" t="s">
        <v>10</v>
      </c>
      <c r="I36" s="33"/>
      <c r="J36" s="28">
        <v>13987.85</v>
      </c>
      <c r="K36" s="27">
        <f>989.77-35</f>
        <v>954.77</v>
      </c>
      <c r="L36" s="27">
        <v>2665.67</v>
      </c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33" t="s">
        <v>11</v>
      </c>
      <c r="I37" s="33"/>
      <c r="J37" s="29">
        <f>+J36-J33</f>
        <v>2479.3100000000049</v>
      </c>
      <c r="K37" s="30">
        <f>+K36-K33</f>
        <v>22.709999999999923</v>
      </c>
      <c r="L37" s="30">
        <f>+L36-L33</f>
        <v>593.5300000000002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33" t="s">
        <v>12</v>
      </c>
      <c r="I38" s="33"/>
      <c r="J38" s="28">
        <v>-2265.08</v>
      </c>
      <c r="K38" s="27">
        <v>-91.68</v>
      </c>
      <c r="L38" s="27">
        <f>-425.19+145.9</f>
        <v>-279.28999999999996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3" t="s">
        <v>13</v>
      </c>
      <c r="I39" s="33"/>
      <c r="J39" s="28">
        <v>-2568.44</v>
      </c>
      <c r="K39" s="27">
        <f>-83.31-39.89</f>
        <v>-123.2</v>
      </c>
      <c r="L39" s="27">
        <v>-582.55999999999995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3" t="s">
        <v>14</v>
      </c>
      <c r="I40" s="33"/>
      <c r="J40" s="28">
        <v>-126.42</v>
      </c>
      <c r="K40" s="27">
        <v>0</v>
      </c>
      <c r="L40" s="27">
        <v>0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4" t="s">
        <v>15</v>
      </c>
      <c r="I41" s="34"/>
      <c r="J41" s="31">
        <f>+J36+J38+J39+J40</f>
        <v>9027.91</v>
      </c>
      <c r="K41" s="32">
        <f>+K36+K38+K39+K40</f>
        <v>739.88999999999987</v>
      </c>
      <c r="L41" s="32">
        <f>+L36+L38+L39+L40</f>
        <v>1803.8200000000002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2025-08-21T05:54:08Z</dcterms:created>
  <dcterms:modified xsi:type="dcterms:W3CDTF">2025-10-07T06:44:07Z</dcterms:modified>
</cp:coreProperties>
</file>