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DD94E1D-F6C4-4402-BA7A-BC056EBA420E}" xr6:coauthVersionLast="47" xr6:coauthVersionMax="47" xr10:uidLastSave="{00000000-0000-0000-0000-000000000000}"/>
  <bookViews>
    <workbookView xWindow="-120" yWindow="-120" windowWidth="20730" windowHeight="11040" xr2:uid="{E4D18E22-656E-4EF1-BAC2-E8A9E4B0E6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A2" i="1"/>
  <c r="J41" i="1"/>
  <c r="K39" i="1"/>
  <c r="L38" i="1"/>
  <c r="L36" i="1"/>
  <c r="L37" i="1" s="1"/>
  <c r="K36" i="1"/>
  <c r="K41" i="1" s="1"/>
  <c r="R33" i="1"/>
  <c r="M33" i="1"/>
  <c r="M35" i="1" s="1"/>
  <c r="L33" i="1"/>
  <c r="L35" i="1" s="1"/>
  <c r="K33" i="1"/>
  <c r="K35" i="1" s="1"/>
  <c r="J33" i="1"/>
  <c r="J34" i="1" s="1"/>
  <c r="I33" i="1"/>
  <c r="G33" i="1"/>
  <c r="E33" i="1"/>
  <c r="E34" i="1" s="1"/>
  <c r="D33" i="1"/>
  <c r="D34" i="1" s="1"/>
  <c r="C33" i="1"/>
  <c r="C34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S28" i="1"/>
  <c r="N28" i="1"/>
  <c r="F28" i="1"/>
  <c r="A28" i="1"/>
  <c r="S27" i="1"/>
  <c r="N27" i="1"/>
  <c r="O27" i="1" s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O18" i="1" s="1"/>
  <c r="A18" i="1"/>
  <c r="S17" i="1"/>
  <c r="H17" i="1"/>
  <c r="N17" i="1" s="1"/>
  <c r="O17" i="1" s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N7" i="1"/>
  <c r="H7" i="1"/>
  <c r="F7" i="1"/>
  <c r="A7" i="1"/>
  <c r="S6" i="1"/>
  <c r="H6" i="1"/>
  <c r="N6" i="1" s="1"/>
  <c r="F6" i="1"/>
  <c r="A6" i="1"/>
  <c r="S5" i="1"/>
  <c r="N5" i="1"/>
  <c r="F5" i="1"/>
  <c r="A5" i="1"/>
  <c r="S4" i="1"/>
  <c r="H4" i="1"/>
  <c r="N4" i="1" s="1"/>
  <c r="F4" i="1"/>
  <c r="O4" i="1" s="1"/>
  <c r="A4" i="1"/>
  <c r="S3" i="1"/>
  <c r="H3" i="1"/>
  <c r="N3" i="1" s="1"/>
  <c r="F3" i="1"/>
  <c r="F33" i="1" s="1"/>
  <c r="A3" i="1"/>
  <c r="S2" i="1"/>
  <c r="H2" i="1"/>
  <c r="H33" i="1" s="1"/>
  <c r="F2" i="1"/>
  <c r="A1" i="1"/>
  <c r="O5" i="1" l="1"/>
  <c r="O23" i="1"/>
  <c r="O29" i="1"/>
  <c r="J35" i="1"/>
  <c r="O7" i="1"/>
  <c r="L41" i="1"/>
  <c r="S33" i="1"/>
  <c r="O8" i="1"/>
  <c r="O28" i="1"/>
  <c r="K34" i="1"/>
  <c r="C35" i="1"/>
  <c r="O14" i="1"/>
  <c r="O16" i="1"/>
  <c r="O6" i="1"/>
  <c r="O3" i="1"/>
  <c r="O10" i="1"/>
  <c r="O32" i="1"/>
  <c r="G34" i="1"/>
  <c r="E35" i="1"/>
  <c r="J37" i="1"/>
  <c r="N2" i="1"/>
  <c r="N33" i="1" s="1"/>
  <c r="K37" i="1"/>
  <c r="L34" i="1"/>
  <c r="B34" i="1"/>
  <c r="M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<sst xmlns="http://schemas.openxmlformats.org/spreadsheetml/2006/main" count="27" uniqueCount="27">
  <si>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</si>
  <si>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</si>
  <si>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</si>
  <si>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</si>
  <si>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</si>
  <si>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</si>
  <si>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</si>
  <si>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</si>
  <si>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</si>
  <si>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</si>
  <si>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</si>
  <si>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</si>
  <si>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</si>
  <si>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</si>
  <si>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</si>
  <si>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</si>
  <si>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</si>
  <si>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</si>
  <si>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</si>
  <si>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</si>
  <si>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</si>
  <si>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</si>
  <si>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</si>
  <si>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</si>
  <si>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</si>
  <si>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DepositedCashPNCBANK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</si>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</sst>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490F-2784-4BD2-9272-E785F3AEA52E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3" width="10.8554687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3.28515625" customWidth="1"/>
    <col min="16" max="16" width="14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955.57</v>
      </c>
      <c r="C2" s="8">
        <v>487</v>
      </c>
      <c r="D2" s="9">
        <v>57.5</v>
      </c>
      <c r="E2" s="9">
        <v>52.11</v>
      </c>
      <c r="F2" s="10">
        <f>SUM(B2:E2)</f>
        <v>1552.18</v>
      </c>
      <c r="G2" s="11">
        <v>113.16</v>
      </c>
      <c r="H2" s="9">
        <f>929.19-2.49</f>
        <v>926.7</v>
      </c>
      <c r="I2" s="9">
        <v>22.82</v>
      </c>
      <c r="J2" s="9">
        <v>448.01</v>
      </c>
      <c r="K2" s="9">
        <v>17.91</v>
      </c>
      <c r="L2" s="9">
        <v>23.58</v>
      </c>
      <c r="M2" s="9">
        <v>0</v>
      </c>
      <c r="N2" s="12">
        <f t="shared" ref="N2:N32" si="0">SUM(G2:M2)</f>
        <v>1552.18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-113.16</v>
      </c>
    </row>
    <row r="3" spans="1:19" x14ac:dyDescent="0.25">
      <c r="A3" s="7">
        <f>'[1]Cash Variance'!A4</f>
        <v>45840</v>
      </c>
      <c r="B3" s="8">
        <v>845.1</v>
      </c>
      <c r="C3" s="8">
        <v>371.7</v>
      </c>
      <c r="D3" s="9">
        <v>50.82</v>
      </c>
      <c r="E3" s="9">
        <v>7.85</v>
      </c>
      <c r="F3" s="10">
        <f t="shared" ref="F3:F32" si="3">SUM(B3:E3)</f>
        <v>1275.4699999999998</v>
      </c>
      <c r="G3" s="9">
        <v>194.99</v>
      </c>
      <c r="H3" s="9">
        <f>717.75-6.99</f>
        <v>710.76</v>
      </c>
      <c r="I3" s="9">
        <v>0</v>
      </c>
      <c r="J3" s="9">
        <v>260.3</v>
      </c>
      <c r="K3" s="9">
        <v>0</v>
      </c>
      <c r="L3" s="9">
        <v>109.42</v>
      </c>
      <c r="M3" s="9">
        <v>0</v>
      </c>
      <c r="N3" s="12">
        <f t="shared" si="0"/>
        <v>1275.47</v>
      </c>
      <c r="O3" s="13">
        <f t="shared" si="1"/>
        <v>0</v>
      </c>
      <c r="P3" s="9">
        <v>195</v>
      </c>
      <c r="Q3" s="14">
        <v>45861</v>
      </c>
      <c r="R3" s="17"/>
      <c r="S3" s="16">
        <f t="shared" si="2"/>
        <v>9.9999999999909051E-3</v>
      </c>
    </row>
    <row r="4" spans="1:19" x14ac:dyDescent="0.25">
      <c r="A4" s="7">
        <f>'[1]Cash Variance'!A5</f>
        <v>45841</v>
      </c>
      <c r="B4" s="8">
        <v>1283.4100000000001</v>
      </c>
      <c r="C4" s="8">
        <v>432.31</v>
      </c>
      <c r="D4" s="9">
        <v>77.150000000000006</v>
      </c>
      <c r="E4" s="9">
        <v>12.49</v>
      </c>
      <c r="F4" s="10">
        <f t="shared" si="3"/>
        <v>1805.3600000000001</v>
      </c>
      <c r="G4" s="9">
        <v>174.76</v>
      </c>
      <c r="H4" s="9">
        <f>1198.26-3.89</f>
        <v>1194.3699999999999</v>
      </c>
      <c r="I4" s="9">
        <v>0</v>
      </c>
      <c r="J4" s="9">
        <v>247.09</v>
      </c>
      <c r="K4" s="9">
        <v>66.27</v>
      </c>
      <c r="L4" s="9">
        <v>122.87</v>
      </c>
      <c r="M4" s="9">
        <v>0</v>
      </c>
      <c r="N4" s="12">
        <f t="shared" si="0"/>
        <v>1805.3599999999997</v>
      </c>
      <c r="O4" s="13">
        <f t="shared" si="1"/>
        <v>0</v>
      </c>
      <c r="P4" s="9">
        <v>180</v>
      </c>
      <c r="Q4" s="14">
        <v>45861</v>
      </c>
      <c r="R4" s="17"/>
      <c r="S4" s="16">
        <f t="shared" si="2"/>
        <v>5.2400000000000091</v>
      </c>
    </row>
    <row r="5" spans="1:19" x14ac:dyDescent="0.25">
      <c r="A5" s="7">
        <f>'[1]Cash Variance'!A6</f>
        <v>45842</v>
      </c>
      <c r="B5" s="8">
        <v>537.59</v>
      </c>
      <c r="C5" s="8">
        <v>97.37</v>
      </c>
      <c r="D5" s="9">
        <v>32.35</v>
      </c>
      <c r="E5" s="9">
        <v>10.67</v>
      </c>
      <c r="F5" s="10">
        <f t="shared" si="3"/>
        <v>677.98</v>
      </c>
      <c r="G5" s="9">
        <v>153.66</v>
      </c>
      <c r="H5" s="9">
        <v>420.56</v>
      </c>
      <c r="I5" s="9">
        <v>0</v>
      </c>
      <c r="J5" s="9">
        <v>88.74</v>
      </c>
      <c r="K5" s="9">
        <v>0</v>
      </c>
      <c r="L5" s="9">
        <v>0</v>
      </c>
      <c r="M5" s="9">
        <v>15</v>
      </c>
      <c r="N5" s="12">
        <f t="shared" si="0"/>
        <v>677.96</v>
      </c>
      <c r="O5" s="13">
        <f t="shared" si="1"/>
        <v>1.999999999998181E-2</v>
      </c>
      <c r="P5" s="9">
        <v>157</v>
      </c>
      <c r="Q5" s="14">
        <v>45860</v>
      </c>
      <c r="R5" s="15"/>
      <c r="S5" s="16">
        <f t="shared" si="2"/>
        <v>3.3400000000000034</v>
      </c>
    </row>
    <row r="6" spans="1:19" x14ac:dyDescent="0.25">
      <c r="A6" s="7">
        <f>'[1]Cash Variance'!A7</f>
        <v>45843</v>
      </c>
      <c r="B6" s="8">
        <v>1057.48</v>
      </c>
      <c r="C6" s="8">
        <v>433.92</v>
      </c>
      <c r="D6" s="9">
        <v>63.58</v>
      </c>
      <c r="E6" s="9">
        <v>12.72</v>
      </c>
      <c r="F6" s="10">
        <f t="shared" si="3"/>
        <v>1567.7</v>
      </c>
      <c r="G6" s="9">
        <v>397.13</v>
      </c>
      <c r="H6" s="9">
        <f>745.63-3.74</f>
        <v>741.89</v>
      </c>
      <c r="I6" s="9">
        <v>0</v>
      </c>
      <c r="J6" s="9">
        <v>281.5</v>
      </c>
      <c r="K6" s="9">
        <v>31.62</v>
      </c>
      <c r="L6" s="9">
        <v>115.56</v>
      </c>
      <c r="M6" s="9">
        <v>0</v>
      </c>
      <c r="N6" s="12">
        <f t="shared" si="0"/>
        <v>1567.6999999999998</v>
      </c>
      <c r="O6" s="13">
        <f t="shared" si="1"/>
        <v>0</v>
      </c>
      <c r="P6" s="9">
        <v>397</v>
      </c>
      <c r="Q6" s="14">
        <v>45861</v>
      </c>
      <c r="R6" s="15"/>
      <c r="S6" s="16">
        <f t="shared" si="2"/>
        <v>-0.12999999999999545</v>
      </c>
    </row>
    <row r="7" spans="1:19" x14ac:dyDescent="0.25">
      <c r="A7" s="7">
        <f>'[1]Cash Variance'!A8</f>
        <v>45844</v>
      </c>
      <c r="B7" s="8">
        <v>1207.04</v>
      </c>
      <c r="C7" s="8">
        <v>633.55999999999995</v>
      </c>
      <c r="D7" s="9">
        <v>72.53</v>
      </c>
      <c r="E7" s="9">
        <v>36.29</v>
      </c>
      <c r="F7" s="10">
        <f t="shared" si="3"/>
        <v>1949.4199999999998</v>
      </c>
      <c r="G7" s="9">
        <v>166.24</v>
      </c>
      <c r="H7" s="9">
        <f>1151.7-9.98</f>
        <v>1141.72</v>
      </c>
      <c r="I7" s="9">
        <v>6.88</v>
      </c>
      <c r="J7" s="9">
        <v>357.39</v>
      </c>
      <c r="K7" s="9">
        <v>124.9</v>
      </c>
      <c r="L7" s="9">
        <v>152.29</v>
      </c>
      <c r="M7" s="9">
        <v>0</v>
      </c>
      <c r="N7" s="12">
        <f t="shared" si="0"/>
        <v>1949.42</v>
      </c>
      <c r="O7" s="13">
        <f t="shared" si="1"/>
        <v>0</v>
      </c>
      <c r="P7" s="9"/>
      <c r="Q7" s="14"/>
      <c r="R7" s="15"/>
      <c r="S7" s="16">
        <f t="shared" si="2"/>
        <v>-166.24</v>
      </c>
    </row>
    <row r="8" spans="1:19" x14ac:dyDescent="0.25">
      <c r="A8" s="7">
        <f>'[1]Cash Variance'!A9</f>
        <v>45845</v>
      </c>
      <c r="B8" s="8">
        <v>835.79</v>
      </c>
      <c r="C8" s="8">
        <v>473.62</v>
      </c>
      <c r="D8" s="9">
        <v>50.27</v>
      </c>
      <c r="E8" s="9">
        <v>24</v>
      </c>
      <c r="F8" s="10">
        <f t="shared" si="3"/>
        <v>1383.6799999999998</v>
      </c>
      <c r="G8" s="9">
        <v>124.11</v>
      </c>
      <c r="H8" s="9">
        <f>768.92-4.44</f>
        <v>764.4799999999999</v>
      </c>
      <c r="I8" s="9">
        <v>25.95</v>
      </c>
      <c r="J8" s="9">
        <v>385.67</v>
      </c>
      <c r="K8" s="9">
        <v>17.309999999999999</v>
      </c>
      <c r="L8" s="9">
        <v>66.16</v>
      </c>
      <c r="M8" s="9">
        <v>0</v>
      </c>
      <c r="N8" s="12">
        <f t="shared" si="0"/>
        <v>1383.68</v>
      </c>
      <c r="O8" s="13">
        <f t="shared" si="1"/>
        <v>0</v>
      </c>
      <c r="P8" s="9">
        <v>124</v>
      </c>
      <c r="Q8" s="14">
        <v>45860</v>
      </c>
      <c r="R8" s="15"/>
      <c r="S8" s="16">
        <f t="shared" si="2"/>
        <v>-0.10999999999999943</v>
      </c>
    </row>
    <row r="9" spans="1:19" x14ac:dyDescent="0.25">
      <c r="A9" s="7">
        <f>'[1]Cash Variance'!A10</f>
        <v>45846</v>
      </c>
      <c r="B9" s="8">
        <v>826.56</v>
      </c>
      <c r="C9" s="8">
        <v>510.72</v>
      </c>
      <c r="D9" s="18">
        <v>49.71</v>
      </c>
      <c r="E9" s="9">
        <v>8</v>
      </c>
      <c r="F9" s="10">
        <f t="shared" si="3"/>
        <v>1394.99</v>
      </c>
      <c r="G9" s="9">
        <v>179.14</v>
      </c>
      <c r="H9" s="9">
        <f>705.07-9.94</f>
        <v>695.13</v>
      </c>
      <c r="I9" s="9">
        <v>0</v>
      </c>
      <c r="J9" s="9">
        <v>348.77</v>
      </c>
      <c r="K9" s="9">
        <v>0</v>
      </c>
      <c r="L9" s="9">
        <v>171.95</v>
      </c>
      <c r="M9" s="9">
        <v>0</v>
      </c>
      <c r="N9" s="12">
        <f t="shared" si="0"/>
        <v>1394.99</v>
      </c>
      <c r="O9" s="13">
        <f t="shared" si="1"/>
        <v>0</v>
      </c>
      <c r="P9" s="9">
        <v>179</v>
      </c>
      <c r="Q9" s="14">
        <v>45860</v>
      </c>
      <c r="R9" s="15"/>
      <c r="S9" s="16">
        <f t="shared" si="2"/>
        <v>-0.13999999999998636</v>
      </c>
    </row>
    <row r="10" spans="1:19" x14ac:dyDescent="0.25">
      <c r="A10" s="7">
        <f>'[1]Cash Variance'!A11</f>
        <v>45847</v>
      </c>
      <c r="B10" s="8">
        <v>827.91</v>
      </c>
      <c r="C10" s="8">
        <v>427.36</v>
      </c>
      <c r="D10" s="18">
        <v>49.78</v>
      </c>
      <c r="E10" s="9">
        <v>24.28</v>
      </c>
      <c r="F10" s="10">
        <f t="shared" si="3"/>
        <v>1329.33</v>
      </c>
      <c r="G10" s="9">
        <v>176.63</v>
      </c>
      <c r="H10" s="9">
        <f>729.82-11.41</f>
        <v>718.41000000000008</v>
      </c>
      <c r="I10" s="9">
        <v>0</v>
      </c>
      <c r="J10" s="9">
        <v>242.78</v>
      </c>
      <c r="K10" s="9">
        <v>30.43</v>
      </c>
      <c r="L10" s="9">
        <v>161.08000000000001</v>
      </c>
      <c r="M10" s="9">
        <v>0</v>
      </c>
      <c r="N10" s="12">
        <f t="shared" si="0"/>
        <v>1329.3300000000002</v>
      </c>
      <c r="O10" s="13">
        <f t="shared" si="1"/>
        <v>0</v>
      </c>
      <c r="P10" s="9">
        <v>177</v>
      </c>
      <c r="Q10" s="14">
        <v>45860</v>
      </c>
      <c r="R10" s="15"/>
      <c r="S10" s="16">
        <f t="shared" si="2"/>
        <v>0.37000000000000455</v>
      </c>
    </row>
    <row r="11" spans="1:19" x14ac:dyDescent="0.25">
      <c r="A11" s="7">
        <f>'[1]Cash Variance'!A12</f>
        <v>45848</v>
      </c>
      <c r="B11" s="8">
        <v>778.72</v>
      </c>
      <c r="C11" s="8">
        <v>645.23</v>
      </c>
      <c r="D11" s="9">
        <v>46.86</v>
      </c>
      <c r="E11" s="9">
        <v>11.89</v>
      </c>
      <c r="F11" s="10">
        <f t="shared" si="3"/>
        <v>1482.7</v>
      </c>
      <c r="G11" s="9">
        <v>89.31</v>
      </c>
      <c r="H11" s="9">
        <f>739.08-2.42</f>
        <v>736.66000000000008</v>
      </c>
      <c r="I11" s="9">
        <v>9</v>
      </c>
      <c r="J11" s="9">
        <v>529.6</v>
      </c>
      <c r="K11" s="9">
        <v>34.24</v>
      </c>
      <c r="L11" s="9">
        <v>83.89</v>
      </c>
      <c r="M11" s="9">
        <v>0</v>
      </c>
      <c r="N11" s="12">
        <f t="shared" si="0"/>
        <v>1482.7000000000003</v>
      </c>
      <c r="O11" s="13">
        <f t="shared" si="1"/>
        <v>0</v>
      </c>
      <c r="P11" s="9">
        <v>88</v>
      </c>
      <c r="Q11" s="14">
        <v>45860</v>
      </c>
      <c r="R11" s="15"/>
      <c r="S11" s="16">
        <f t="shared" si="2"/>
        <v>-1.3100000000000023</v>
      </c>
    </row>
    <row r="12" spans="1:19" x14ac:dyDescent="0.25">
      <c r="A12" s="7">
        <f>'[1]Cash Variance'!A13</f>
        <v>45849</v>
      </c>
      <c r="B12" s="8">
        <v>1055.96</v>
      </c>
      <c r="C12" s="8">
        <v>530.99</v>
      </c>
      <c r="D12" s="9">
        <v>63.47</v>
      </c>
      <c r="E12" s="9">
        <v>3</v>
      </c>
      <c r="F12" s="10">
        <f t="shared" si="3"/>
        <v>1653.42</v>
      </c>
      <c r="G12" s="9">
        <v>177.21</v>
      </c>
      <c r="H12" s="9">
        <f>934.07-4.49</f>
        <v>929.58</v>
      </c>
      <c r="I12" s="9">
        <v>20.12</v>
      </c>
      <c r="J12" s="9">
        <v>342.28</v>
      </c>
      <c r="K12" s="9">
        <v>0</v>
      </c>
      <c r="L12" s="9">
        <v>184.23</v>
      </c>
      <c r="M12" s="9">
        <v>0</v>
      </c>
      <c r="N12" s="12">
        <f t="shared" si="0"/>
        <v>1653.4199999999998</v>
      </c>
      <c r="O12" s="13">
        <f t="shared" si="1"/>
        <v>0</v>
      </c>
      <c r="P12" s="9">
        <v>177</v>
      </c>
      <c r="Q12" s="14">
        <v>45861</v>
      </c>
      <c r="R12" s="15"/>
      <c r="S12" s="16">
        <f t="shared" si="2"/>
        <v>-0.21000000000000796</v>
      </c>
    </row>
    <row r="13" spans="1:19" x14ac:dyDescent="0.25">
      <c r="A13" s="7">
        <f>'[1]Cash Variance'!A14</f>
        <v>45850</v>
      </c>
      <c r="B13" s="8">
        <v>1032.69</v>
      </c>
      <c r="C13" s="8">
        <v>885.88</v>
      </c>
      <c r="D13" s="9">
        <v>62.09</v>
      </c>
      <c r="E13" s="9">
        <v>8.09</v>
      </c>
      <c r="F13" s="10">
        <f t="shared" si="3"/>
        <v>1988.75</v>
      </c>
      <c r="G13" s="9">
        <v>268.82</v>
      </c>
      <c r="H13" s="9">
        <f>828.53-12.49</f>
        <v>816.04</v>
      </c>
      <c r="I13" s="9">
        <v>0</v>
      </c>
      <c r="J13" s="9">
        <v>642.07000000000005</v>
      </c>
      <c r="K13" s="9">
        <v>52.52</v>
      </c>
      <c r="L13" s="9">
        <v>199.3</v>
      </c>
      <c r="M13" s="9">
        <v>10</v>
      </c>
      <c r="N13" s="12">
        <f t="shared" si="0"/>
        <v>1988.7499999999998</v>
      </c>
      <c r="O13" s="13">
        <f t="shared" si="1"/>
        <v>0</v>
      </c>
      <c r="P13" s="9">
        <v>268</v>
      </c>
      <c r="Q13" s="14">
        <v>45861</v>
      </c>
      <c r="R13" s="15"/>
      <c r="S13" s="16">
        <f t="shared" si="2"/>
        <v>-0.81999999999999318</v>
      </c>
    </row>
    <row r="14" spans="1:19" x14ac:dyDescent="0.25">
      <c r="A14" s="7">
        <f>'[1]Cash Variance'!A15</f>
        <v>45851</v>
      </c>
      <c r="B14" s="8">
        <v>917.22</v>
      </c>
      <c r="C14" s="8">
        <v>581.67999999999995</v>
      </c>
      <c r="D14" s="9">
        <v>55.11</v>
      </c>
      <c r="E14" s="9">
        <v>19.2</v>
      </c>
      <c r="F14" s="10">
        <f t="shared" si="3"/>
        <v>1573.21</v>
      </c>
      <c r="G14" s="9">
        <v>103.75</v>
      </c>
      <c r="H14" s="9">
        <f>905.73-2.49</f>
        <v>903.24</v>
      </c>
      <c r="I14" s="9">
        <v>0</v>
      </c>
      <c r="J14" s="9">
        <v>531.67999999999995</v>
      </c>
      <c r="K14" s="9">
        <v>0</v>
      </c>
      <c r="L14" s="9">
        <v>34.54</v>
      </c>
      <c r="M14" s="9">
        <v>0</v>
      </c>
      <c r="N14" s="12">
        <f t="shared" si="0"/>
        <v>1573.21</v>
      </c>
      <c r="O14" s="13">
        <f t="shared" si="1"/>
        <v>0</v>
      </c>
      <c r="P14" s="9">
        <v>104</v>
      </c>
      <c r="Q14" s="14">
        <v>45861</v>
      </c>
      <c r="R14" s="15"/>
      <c r="S14" s="16">
        <f t="shared" si="2"/>
        <v>0.25</v>
      </c>
    </row>
    <row r="15" spans="1:19" x14ac:dyDescent="0.25">
      <c r="A15" s="7">
        <f>'[1]Cash Variance'!A16</f>
        <v>45852</v>
      </c>
      <c r="B15" s="8">
        <v>881.12</v>
      </c>
      <c r="C15" s="8">
        <v>373.28</v>
      </c>
      <c r="D15" s="11">
        <v>52.96</v>
      </c>
      <c r="E15" s="9">
        <v>18.05</v>
      </c>
      <c r="F15" s="10">
        <f t="shared" si="3"/>
        <v>1325.41</v>
      </c>
      <c r="G15" s="9">
        <v>165.05</v>
      </c>
      <c r="H15" s="9">
        <f>777.23-7.47</f>
        <v>769.76</v>
      </c>
      <c r="I15" s="9">
        <v>23.29</v>
      </c>
      <c r="J15" s="9">
        <v>150.72999999999999</v>
      </c>
      <c r="K15" s="9">
        <v>16.23</v>
      </c>
      <c r="L15" s="9">
        <v>200.35</v>
      </c>
      <c r="M15" s="9">
        <v>0</v>
      </c>
      <c r="N15" s="12">
        <f t="shared" si="0"/>
        <v>1325.4099999999999</v>
      </c>
      <c r="O15" s="13">
        <f t="shared" si="1"/>
        <v>0</v>
      </c>
      <c r="P15" s="19">
        <v>165</v>
      </c>
      <c r="Q15" s="14">
        <v>45861</v>
      </c>
      <c r="R15" s="15"/>
      <c r="S15" s="16">
        <f t="shared" si="2"/>
        <v>-5.0000000000011369E-2</v>
      </c>
    </row>
    <row r="16" spans="1:19" x14ac:dyDescent="0.25">
      <c r="A16" s="7">
        <f>'[1]Cash Variance'!A17</f>
        <v>45853</v>
      </c>
      <c r="B16" s="8">
        <v>723.66</v>
      </c>
      <c r="C16" s="8">
        <v>474.51</v>
      </c>
      <c r="D16" s="11">
        <v>43.55</v>
      </c>
      <c r="E16" s="11">
        <v>2.76</v>
      </c>
      <c r="F16" s="10">
        <f t="shared" si="3"/>
        <v>1244.48</v>
      </c>
      <c r="G16" s="11">
        <v>144.76</v>
      </c>
      <c r="H16" s="11">
        <f>625.18-5.84</f>
        <v>619.33999999999992</v>
      </c>
      <c r="I16" s="11">
        <v>0</v>
      </c>
      <c r="J16" s="11">
        <v>327.83</v>
      </c>
      <c r="K16" s="11">
        <v>58.82</v>
      </c>
      <c r="L16" s="11">
        <v>93.73</v>
      </c>
      <c r="M16" s="9">
        <v>0</v>
      </c>
      <c r="N16" s="12">
        <f t="shared" si="0"/>
        <v>1244.4799999999998</v>
      </c>
      <c r="O16" s="13">
        <f t="shared" si="1"/>
        <v>0</v>
      </c>
      <c r="P16" s="9">
        <v>145</v>
      </c>
      <c r="Q16" s="14">
        <v>45861</v>
      </c>
      <c r="R16" s="15"/>
      <c r="S16" s="16">
        <f t="shared" si="2"/>
        <v>0.24000000000000909</v>
      </c>
    </row>
    <row r="17" spans="1:19" x14ac:dyDescent="0.25">
      <c r="A17" s="7">
        <f>'[1]Cash Variance'!A18</f>
        <v>45854</v>
      </c>
      <c r="B17" s="8">
        <v>605.38</v>
      </c>
      <c r="C17" s="8">
        <v>549.64</v>
      </c>
      <c r="D17" s="11">
        <v>36.43</v>
      </c>
      <c r="E17" s="11">
        <v>25.9</v>
      </c>
      <c r="F17" s="10">
        <f t="shared" si="3"/>
        <v>1217.3500000000001</v>
      </c>
      <c r="G17" s="11">
        <v>206.89</v>
      </c>
      <c r="H17" s="11">
        <f>465.3-13.32</f>
        <v>451.98</v>
      </c>
      <c r="I17" s="11">
        <v>0</v>
      </c>
      <c r="J17" s="11">
        <v>264.58</v>
      </c>
      <c r="K17" s="11">
        <v>40.31</v>
      </c>
      <c r="L17" s="11">
        <v>253.59</v>
      </c>
      <c r="M17" s="9">
        <v>0</v>
      </c>
      <c r="N17" s="12">
        <f t="shared" si="0"/>
        <v>1217.3499999999999</v>
      </c>
      <c r="O17" s="13">
        <f t="shared" si="1"/>
        <v>0</v>
      </c>
      <c r="P17" s="9">
        <v>206</v>
      </c>
      <c r="Q17" s="14">
        <v>45861</v>
      </c>
      <c r="R17" s="15"/>
      <c r="S17" s="16">
        <f t="shared" si="2"/>
        <v>-0.88999999999998636</v>
      </c>
    </row>
    <row r="18" spans="1:19" x14ac:dyDescent="0.25">
      <c r="A18" s="7">
        <f>'[1]Cash Variance'!A19</f>
        <v>45855</v>
      </c>
      <c r="B18" s="8">
        <v>804.93</v>
      </c>
      <c r="C18" s="8">
        <v>637.45000000000005</v>
      </c>
      <c r="D18" s="11">
        <v>48.39</v>
      </c>
      <c r="E18" s="11">
        <v>0</v>
      </c>
      <c r="F18" s="10">
        <f t="shared" si="3"/>
        <v>1490.7700000000002</v>
      </c>
      <c r="G18" s="11">
        <v>178.73</v>
      </c>
      <c r="H18" s="11">
        <f>674.59-16</f>
        <v>658.59</v>
      </c>
      <c r="I18" s="11">
        <v>0</v>
      </c>
      <c r="J18" s="11">
        <v>304.64</v>
      </c>
      <c r="K18" s="11">
        <v>48.23</v>
      </c>
      <c r="L18" s="11">
        <v>300.58</v>
      </c>
      <c r="M18" s="9">
        <v>0</v>
      </c>
      <c r="N18" s="12">
        <f t="shared" si="0"/>
        <v>1490.77</v>
      </c>
      <c r="O18" s="13">
        <f t="shared" si="1"/>
        <v>0</v>
      </c>
      <c r="P18" s="9">
        <v>173</v>
      </c>
      <c r="Q18" s="14">
        <v>45861</v>
      </c>
      <c r="R18" s="15"/>
      <c r="S18" s="16">
        <f t="shared" si="2"/>
        <v>-5.7299999999999898</v>
      </c>
    </row>
    <row r="19" spans="1:19" x14ac:dyDescent="0.25">
      <c r="A19" s="7">
        <f>'[1]Cash Variance'!A20</f>
        <v>45856</v>
      </c>
      <c r="B19" s="8">
        <v>1251.1099999999999</v>
      </c>
      <c r="C19" s="8">
        <v>450.21</v>
      </c>
      <c r="D19" s="9">
        <v>75.239999999999995</v>
      </c>
      <c r="E19" s="9">
        <v>31.75</v>
      </c>
      <c r="F19" s="10">
        <f t="shared" si="3"/>
        <v>1808.31</v>
      </c>
      <c r="G19" s="9">
        <v>224.52</v>
      </c>
      <c r="H19" s="9">
        <f>1117.66-7.46</f>
        <v>1110.2</v>
      </c>
      <c r="I19" s="9">
        <v>15.88</v>
      </c>
      <c r="J19" s="9">
        <v>320.52</v>
      </c>
      <c r="K19" s="9">
        <v>19.7</v>
      </c>
      <c r="L19" s="9">
        <v>117.49</v>
      </c>
      <c r="M19" s="9">
        <v>0</v>
      </c>
      <c r="N19" s="12">
        <f t="shared" si="0"/>
        <v>1808.3100000000002</v>
      </c>
      <c r="O19" s="13">
        <f t="shared" si="1"/>
        <v>0</v>
      </c>
      <c r="P19" s="9">
        <v>224</v>
      </c>
      <c r="Q19" s="14">
        <v>45861</v>
      </c>
      <c r="R19" s="15"/>
      <c r="S19" s="16">
        <f t="shared" si="2"/>
        <v>-0.52000000000001023</v>
      </c>
    </row>
    <row r="20" spans="1:19" x14ac:dyDescent="0.25">
      <c r="A20" s="7">
        <f>'[1]Cash Variance'!A21</f>
        <v>45857</v>
      </c>
      <c r="B20" s="8">
        <v>903.68</v>
      </c>
      <c r="C20" s="8">
        <v>856.79</v>
      </c>
      <c r="D20" s="9">
        <v>54.36</v>
      </c>
      <c r="E20" s="9">
        <v>2</v>
      </c>
      <c r="F20" s="10">
        <f t="shared" si="3"/>
        <v>1816.8299999999997</v>
      </c>
      <c r="G20" s="9">
        <v>201.58</v>
      </c>
      <c r="H20" s="9">
        <v>724.04</v>
      </c>
      <c r="I20" s="9">
        <v>34.409999999999997</v>
      </c>
      <c r="J20" s="9">
        <v>428.37</v>
      </c>
      <c r="K20" s="9">
        <v>49.19</v>
      </c>
      <c r="L20" s="9">
        <v>379.23</v>
      </c>
      <c r="M20" s="9">
        <v>0</v>
      </c>
      <c r="N20" s="12">
        <f t="shared" si="0"/>
        <v>1816.8200000000002</v>
      </c>
      <c r="O20" s="13">
        <f t="shared" si="1"/>
        <v>9.9999999995361577E-3</v>
      </c>
      <c r="P20" s="9">
        <v>201</v>
      </c>
      <c r="Q20" s="14">
        <v>45861</v>
      </c>
      <c r="R20" s="15"/>
      <c r="S20" s="16">
        <f t="shared" si="2"/>
        <v>-0.58000000000001251</v>
      </c>
    </row>
    <row r="21" spans="1:19" x14ac:dyDescent="0.25">
      <c r="A21" s="7">
        <f>'[1]Cash Variance'!A22</f>
        <v>45858</v>
      </c>
      <c r="B21" s="8">
        <v>1077.3499999999999</v>
      </c>
      <c r="C21" s="8">
        <v>687.56</v>
      </c>
      <c r="D21" s="9">
        <v>64.790000000000006</v>
      </c>
      <c r="E21" s="9">
        <v>14.45</v>
      </c>
      <c r="F21" s="10">
        <f t="shared" si="3"/>
        <v>1844.1499999999999</v>
      </c>
      <c r="G21" s="9">
        <v>253.77</v>
      </c>
      <c r="H21" s="9">
        <v>894.33</v>
      </c>
      <c r="I21" s="9">
        <v>8.4700000000000006</v>
      </c>
      <c r="J21" s="9">
        <v>265.56</v>
      </c>
      <c r="K21" s="9">
        <v>38.049999999999997</v>
      </c>
      <c r="L21" s="9">
        <v>383.95</v>
      </c>
      <c r="M21" s="9">
        <v>0</v>
      </c>
      <c r="N21" s="12">
        <f t="shared" si="0"/>
        <v>1844.13</v>
      </c>
      <c r="O21" s="13">
        <f t="shared" si="1"/>
        <v>1.9999999999754436E-2</v>
      </c>
      <c r="P21" s="9">
        <v>253</v>
      </c>
      <c r="Q21" s="14">
        <v>45861</v>
      </c>
      <c r="R21" s="15"/>
      <c r="S21" s="16">
        <f t="shared" si="2"/>
        <v>-0.77000000000001023</v>
      </c>
    </row>
    <row r="22" spans="1:19" x14ac:dyDescent="0.25">
      <c r="A22" s="7">
        <f>'[1]Cash Variance'!A23</f>
        <v>45859</v>
      </c>
      <c r="B22" s="8">
        <v>933.7</v>
      </c>
      <c r="C22" s="8">
        <v>435.58</v>
      </c>
      <c r="D22" s="9">
        <v>56.15</v>
      </c>
      <c r="E22" s="11">
        <v>20.86</v>
      </c>
      <c r="F22" s="10">
        <f t="shared" si="3"/>
        <v>1446.29</v>
      </c>
      <c r="G22" s="9">
        <v>162.13</v>
      </c>
      <c r="H22" s="9">
        <v>847.04</v>
      </c>
      <c r="I22" s="9">
        <v>0</v>
      </c>
      <c r="J22" s="9">
        <v>260.83</v>
      </c>
      <c r="K22" s="9">
        <v>61.7</v>
      </c>
      <c r="L22" s="9">
        <v>99.58</v>
      </c>
      <c r="M22" s="9">
        <v>15</v>
      </c>
      <c r="N22" s="12">
        <f t="shared" si="0"/>
        <v>1446.28</v>
      </c>
      <c r="O22" s="13">
        <f t="shared" si="1"/>
        <v>9.9999999999909051E-3</v>
      </c>
      <c r="P22" s="9">
        <v>162</v>
      </c>
      <c r="Q22" s="14">
        <v>45861</v>
      </c>
      <c r="R22" s="20"/>
      <c r="S22" s="16">
        <f t="shared" si="2"/>
        <v>-0.12999999999999545</v>
      </c>
    </row>
    <row r="23" spans="1:19" x14ac:dyDescent="0.25">
      <c r="A23" s="7">
        <f>'[1]Cash Variance'!A24</f>
        <v>45860</v>
      </c>
      <c r="B23" s="8">
        <v>933.5</v>
      </c>
      <c r="C23" s="8">
        <v>329.23</v>
      </c>
      <c r="D23" s="9">
        <v>56.17</v>
      </c>
      <c r="E23" s="11">
        <v>9.66</v>
      </c>
      <c r="F23" s="10">
        <f t="shared" si="3"/>
        <v>1328.5600000000002</v>
      </c>
      <c r="G23" s="9">
        <v>147.66</v>
      </c>
      <c r="H23" s="9">
        <v>785.91</v>
      </c>
      <c r="I23" s="9">
        <v>65.760000000000005</v>
      </c>
      <c r="J23" s="9">
        <v>235.86</v>
      </c>
      <c r="K23" s="9">
        <v>34.630000000000003</v>
      </c>
      <c r="L23" s="9">
        <v>58.74</v>
      </c>
      <c r="M23" s="9">
        <v>0</v>
      </c>
      <c r="N23" s="12">
        <f t="shared" si="0"/>
        <v>1328.5600000000002</v>
      </c>
      <c r="O23" s="13">
        <f t="shared" si="1"/>
        <v>0</v>
      </c>
      <c r="P23" s="9">
        <v>154</v>
      </c>
      <c r="Q23" s="14">
        <v>45861</v>
      </c>
      <c r="R23" s="15"/>
      <c r="S23" s="16">
        <f t="shared" si="2"/>
        <v>6.3400000000000034</v>
      </c>
    </row>
    <row r="24" spans="1:19" x14ac:dyDescent="0.25">
      <c r="A24" s="7">
        <f>'[1]Cash Variance'!A25</f>
        <v>45861</v>
      </c>
      <c r="B24" s="8">
        <v>903.68</v>
      </c>
      <c r="C24" s="8">
        <v>302.29000000000002</v>
      </c>
      <c r="D24" s="9">
        <v>54.36</v>
      </c>
      <c r="E24" s="9">
        <v>7</v>
      </c>
      <c r="F24" s="10">
        <f t="shared" si="3"/>
        <v>1267.33</v>
      </c>
      <c r="G24" s="9">
        <v>113.21</v>
      </c>
      <c r="H24" s="9">
        <v>856.29</v>
      </c>
      <c r="I24" s="9">
        <v>0</v>
      </c>
      <c r="J24" s="9">
        <v>173.17</v>
      </c>
      <c r="K24" s="9">
        <v>43.57</v>
      </c>
      <c r="L24" s="9">
        <v>81.06</v>
      </c>
      <c r="M24" s="9">
        <v>0</v>
      </c>
      <c r="N24" s="12">
        <f t="shared" si="0"/>
        <v>1267.3</v>
      </c>
      <c r="O24" s="13">
        <f t="shared" si="1"/>
        <v>2.9999999999972715E-2</v>
      </c>
      <c r="P24" s="9">
        <v>113</v>
      </c>
      <c r="Q24" s="14">
        <v>45861</v>
      </c>
      <c r="R24" s="15"/>
      <c r="S24" s="16">
        <f t="shared" si="2"/>
        <v>-0.20999999999999375</v>
      </c>
    </row>
    <row r="25" spans="1:19" x14ac:dyDescent="0.25">
      <c r="A25" s="7">
        <f>'[1]Cash Variance'!A26</f>
        <v>45862</v>
      </c>
      <c r="B25" s="8">
        <v>829.54</v>
      </c>
      <c r="C25" s="8">
        <v>457.15</v>
      </c>
      <c r="D25" s="9">
        <v>49.87</v>
      </c>
      <c r="E25" s="9">
        <v>41.45</v>
      </c>
      <c r="F25" s="10">
        <f t="shared" si="3"/>
        <v>1378.01</v>
      </c>
      <c r="G25" s="9">
        <v>85.22</v>
      </c>
      <c r="H25" s="9">
        <v>836.14</v>
      </c>
      <c r="I25" s="9">
        <v>0</v>
      </c>
      <c r="J25" s="9">
        <v>315.91000000000003</v>
      </c>
      <c r="K25" s="9">
        <v>0</v>
      </c>
      <c r="L25" s="9">
        <v>132.26</v>
      </c>
      <c r="M25" s="9">
        <v>8.4700000000000006</v>
      </c>
      <c r="N25" s="12">
        <f t="shared" si="0"/>
        <v>1378</v>
      </c>
      <c r="O25" s="13">
        <f t="shared" si="1"/>
        <v>9.9999999999909051E-3</v>
      </c>
      <c r="P25" s="9"/>
      <c r="Q25" s="21"/>
      <c r="R25" s="15"/>
      <c r="S25" s="16">
        <f t="shared" si="2"/>
        <v>-85.22</v>
      </c>
    </row>
    <row r="26" spans="1:19" x14ac:dyDescent="0.25">
      <c r="A26" s="7">
        <f>'[1]Cash Variance'!A27</f>
        <v>45863</v>
      </c>
      <c r="B26" s="8">
        <v>1212.01</v>
      </c>
      <c r="C26" s="8">
        <v>603.95000000000005</v>
      </c>
      <c r="D26" s="9">
        <v>72.86</v>
      </c>
      <c r="E26" s="9">
        <v>19.23</v>
      </c>
      <c r="F26" s="10">
        <f t="shared" si="3"/>
        <v>1908.05</v>
      </c>
      <c r="G26" s="9">
        <v>191.68</v>
      </c>
      <c r="H26" s="9">
        <v>1092.3699999999999</v>
      </c>
      <c r="I26" s="9">
        <v>24.54</v>
      </c>
      <c r="J26" s="9">
        <v>381.64</v>
      </c>
      <c r="K26" s="9">
        <v>36.83</v>
      </c>
      <c r="L26" s="9">
        <v>180.99</v>
      </c>
      <c r="M26" s="9">
        <v>0</v>
      </c>
      <c r="N26" s="12">
        <f t="shared" si="0"/>
        <v>1908.05</v>
      </c>
      <c r="O26" s="13">
        <f t="shared" si="1"/>
        <v>0</v>
      </c>
      <c r="P26" s="9"/>
      <c r="Q26" s="14"/>
      <c r="R26" s="15"/>
      <c r="S26" s="16">
        <f t="shared" si="2"/>
        <v>-191.68</v>
      </c>
    </row>
    <row r="27" spans="1:19" x14ac:dyDescent="0.25">
      <c r="A27" s="7">
        <f>'[1]Cash Variance'!A28</f>
        <v>45864</v>
      </c>
      <c r="B27" s="8">
        <v>1050.72</v>
      </c>
      <c r="C27" s="8">
        <v>530.62</v>
      </c>
      <c r="D27" s="9">
        <v>63.16</v>
      </c>
      <c r="E27" s="9">
        <v>7.63</v>
      </c>
      <c r="F27" s="10">
        <f t="shared" si="3"/>
        <v>1652.1300000000003</v>
      </c>
      <c r="G27" s="9">
        <v>100.38</v>
      </c>
      <c r="H27" s="9">
        <v>1021.06</v>
      </c>
      <c r="I27" s="9">
        <v>0</v>
      </c>
      <c r="J27" s="9">
        <v>371.57</v>
      </c>
      <c r="K27" s="9">
        <v>0</v>
      </c>
      <c r="L27" s="9">
        <v>159.05000000000001</v>
      </c>
      <c r="M27" s="9">
        <v>0</v>
      </c>
      <c r="N27" s="12">
        <f t="shared" si="0"/>
        <v>1652.06</v>
      </c>
      <c r="O27" s="13">
        <f t="shared" si="1"/>
        <v>7.0000000000391083E-2</v>
      </c>
      <c r="P27" s="9"/>
      <c r="Q27" s="14"/>
      <c r="R27" s="15"/>
      <c r="S27" s="16">
        <f t="shared" si="2"/>
        <v>-100.38</v>
      </c>
    </row>
    <row r="28" spans="1:19" x14ac:dyDescent="0.25">
      <c r="A28" s="7">
        <f>'[1]Cash Variance'!A29</f>
        <v>45865</v>
      </c>
      <c r="B28" s="8">
        <v>962.8</v>
      </c>
      <c r="C28" s="8">
        <v>388.72</v>
      </c>
      <c r="D28" s="9">
        <v>57.87</v>
      </c>
      <c r="E28" s="9">
        <v>18.53</v>
      </c>
      <c r="F28" s="10">
        <f t="shared" si="3"/>
        <v>1427.9199999999998</v>
      </c>
      <c r="G28" s="9">
        <v>153.96</v>
      </c>
      <c r="H28" s="9">
        <v>879.71</v>
      </c>
      <c r="I28" s="9">
        <v>0</v>
      </c>
      <c r="J28" s="9">
        <v>280.77999999999997</v>
      </c>
      <c r="K28" s="9">
        <v>17.91</v>
      </c>
      <c r="L28" s="9">
        <v>85.54</v>
      </c>
      <c r="M28" s="9">
        <v>10</v>
      </c>
      <c r="N28" s="12">
        <f t="shared" si="0"/>
        <v>1427.9</v>
      </c>
      <c r="O28" s="13">
        <f t="shared" si="1"/>
        <v>1.9999999999754436E-2</v>
      </c>
      <c r="P28" s="9"/>
      <c r="Q28" s="14"/>
      <c r="R28" s="15"/>
      <c r="S28" s="16">
        <f t="shared" si="2"/>
        <v>-153.96</v>
      </c>
    </row>
    <row r="29" spans="1:19" x14ac:dyDescent="0.25">
      <c r="A29" s="7">
        <f>'[1]Cash Variance'!A30</f>
        <v>45866</v>
      </c>
      <c r="B29" s="8">
        <v>496.86</v>
      </c>
      <c r="C29" s="8">
        <v>332.15</v>
      </c>
      <c r="D29" s="9">
        <v>29.88</v>
      </c>
      <c r="E29" s="9">
        <v>16.18</v>
      </c>
      <c r="F29" s="10">
        <f t="shared" si="3"/>
        <v>875.06999999999994</v>
      </c>
      <c r="G29" s="9">
        <v>62.04</v>
      </c>
      <c r="H29" s="9">
        <v>429.53</v>
      </c>
      <c r="I29" s="9">
        <v>41.28</v>
      </c>
      <c r="J29" s="9">
        <v>185.01</v>
      </c>
      <c r="K29" s="9">
        <v>36.99</v>
      </c>
      <c r="L29" s="9">
        <v>101.17</v>
      </c>
      <c r="M29" s="9">
        <v>19.05</v>
      </c>
      <c r="N29" s="12">
        <f t="shared" si="0"/>
        <v>875.06999999999994</v>
      </c>
      <c r="O29" s="13">
        <f t="shared" si="1"/>
        <v>0</v>
      </c>
      <c r="P29" s="9"/>
      <c r="Q29" s="14"/>
      <c r="R29" s="15"/>
      <c r="S29" s="16">
        <f t="shared" si="2"/>
        <v>-62.04</v>
      </c>
    </row>
    <row r="30" spans="1:19" x14ac:dyDescent="0.25">
      <c r="A30" s="7">
        <f>'[1]Cash Variance'!A31</f>
        <v>45867</v>
      </c>
      <c r="B30" s="8">
        <v>811.51</v>
      </c>
      <c r="C30" s="8">
        <v>506.74</v>
      </c>
      <c r="D30" s="9">
        <v>48.77</v>
      </c>
      <c r="E30" s="9">
        <v>23.25</v>
      </c>
      <c r="F30" s="10">
        <f t="shared" si="3"/>
        <v>1390.27</v>
      </c>
      <c r="G30" s="9">
        <v>178.65</v>
      </c>
      <c r="H30" s="9">
        <v>704.88</v>
      </c>
      <c r="I30" s="9">
        <v>0</v>
      </c>
      <c r="J30" s="9">
        <v>376.6</v>
      </c>
      <c r="K30" s="9">
        <v>42.38</v>
      </c>
      <c r="L30" s="9">
        <v>87.76</v>
      </c>
      <c r="M30" s="9">
        <v>0</v>
      </c>
      <c r="N30" s="12">
        <f t="shared" si="0"/>
        <v>1390.2700000000002</v>
      </c>
      <c r="O30" s="13">
        <f t="shared" si="1"/>
        <v>0</v>
      </c>
      <c r="P30" s="9"/>
      <c r="Q30" s="14"/>
      <c r="R30" s="15"/>
      <c r="S30" s="16">
        <f t="shared" si="2"/>
        <v>-178.65</v>
      </c>
    </row>
    <row r="31" spans="1:19" x14ac:dyDescent="0.25">
      <c r="A31" s="7">
        <f>'[1]Cash Variance'!A32</f>
        <v>45868</v>
      </c>
      <c r="B31" s="8">
        <v>955.23</v>
      </c>
      <c r="C31" s="8">
        <v>467.47</v>
      </c>
      <c r="D31" s="9">
        <v>57.45</v>
      </c>
      <c r="E31" s="9">
        <v>14.74</v>
      </c>
      <c r="F31" s="10">
        <f t="shared" si="3"/>
        <v>1494.89</v>
      </c>
      <c r="G31" s="9">
        <v>306.37</v>
      </c>
      <c r="H31" s="9">
        <v>725.53</v>
      </c>
      <c r="I31" s="9">
        <v>0</v>
      </c>
      <c r="J31" s="9">
        <v>329.06</v>
      </c>
      <c r="K31" s="9">
        <v>0</v>
      </c>
      <c r="L31" s="9">
        <v>133.91999999999999</v>
      </c>
      <c r="M31" s="9">
        <v>0</v>
      </c>
      <c r="N31" s="12">
        <f t="shared" si="0"/>
        <v>1494.88</v>
      </c>
      <c r="O31" s="13">
        <f t="shared" si="1"/>
        <v>9.9999999999909051E-3</v>
      </c>
      <c r="P31" s="9"/>
      <c r="Q31" s="14"/>
      <c r="R31" s="15"/>
      <c r="S31" s="16">
        <f t="shared" si="2"/>
        <v>-306.37</v>
      </c>
    </row>
    <row r="32" spans="1:19" ht="15.75" thickBot="1" x14ac:dyDescent="0.3">
      <c r="A32" s="7">
        <f>'[1]Cash Variance'!A33</f>
        <v>45869</v>
      </c>
      <c r="B32" s="8">
        <v>1280.0899999999999</v>
      </c>
      <c r="C32" s="8">
        <v>503.12</v>
      </c>
      <c r="D32" s="9">
        <v>76.97</v>
      </c>
      <c r="E32" s="9">
        <v>28.15</v>
      </c>
      <c r="F32" s="10">
        <f t="shared" si="3"/>
        <v>1888.3300000000002</v>
      </c>
      <c r="G32" s="9">
        <v>118.97</v>
      </c>
      <c r="H32" s="9">
        <f>1256.46-4.49</f>
        <v>1251.97</v>
      </c>
      <c r="I32" s="9">
        <v>23.24</v>
      </c>
      <c r="J32" s="9">
        <v>292.44</v>
      </c>
      <c r="K32" s="9">
        <v>48.78</v>
      </c>
      <c r="L32" s="9">
        <v>152.93</v>
      </c>
      <c r="M32" s="9">
        <v>0</v>
      </c>
      <c r="N32" s="12">
        <f t="shared" si="0"/>
        <v>1888.3300000000002</v>
      </c>
      <c r="O32" s="13">
        <f t="shared" si="1"/>
        <v>0</v>
      </c>
      <c r="P32" s="9"/>
      <c r="Q32" s="14"/>
      <c r="R32" s="15"/>
      <c r="S32" s="16">
        <f t="shared" si="2"/>
        <v>-118.97</v>
      </c>
    </row>
    <row r="33" spans="1:19" ht="15.75" thickBot="1" x14ac:dyDescent="0.3">
      <c r="A33" s="22" t="s">
        <v>8</v>
      </c>
      <c r="B33" s="23">
        <f t="shared" ref="B33:M33" si="4">SUM(B2:B32)</f>
        <v>28777.909999999996</v>
      </c>
      <c r="C33" s="23">
        <f t="shared" si="4"/>
        <v>15397.800000000001</v>
      </c>
      <c r="D33" s="23">
        <f t="shared" si="4"/>
        <v>1730.4499999999998</v>
      </c>
      <c r="E33" s="23">
        <f>SUM(E2:E32)</f>
        <v>532.18000000000006</v>
      </c>
      <c r="F33" s="24">
        <f>SUM(F2:F32)</f>
        <v>46438.34</v>
      </c>
      <c r="G33" s="23">
        <f t="shared" si="4"/>
        <v>5314.4800000000005</v>
      </c>
      <c r="H33" s="23">
        <f>SUM(H2:H32)</f>
        <v>25358.21</v>
      </c>
      <c r="I33" s="23">
        <f t="shared" si="4"/>
        <v>321.64</v>
      </c>
      <c r="J33" s="23">
        <f t="shared" si="4"/>
        <v>9970.9800000000014</v>
      </c>
      <c r="K33" s="23">
        <f t="shared" si="4"/>
        <v>968.5200000000001</v>
      </c>
      <c r="L33" s="23">
        <f t="shared" si="4"/>
        <v>4426.79</v>
      </c>
      <c r="M33" s="23">
        <f t="shared" si="4"/>
        <v>77.52</v>
      </c>
      <c r="N33" s="24">
        <f>SUM(N2:N32)</f>
        <v>46438.14</v>
      </c>
      <c r="O33" s="24">
        <f t="shared" ref="O33:R33" si="5">SUM(O2:O32)</f>
        <v>0.19999999999936335</v>
      </c>
      <c r="P33" s="23">
        <f>SUM(P2:P32)</f>
        <v>3842</v>
      </c>
      <c r="Q33" s="23"/>
      <c r="R33" s="23">
        <f t="shared" si="5"/>
        <v>0</v>
      </c>
      <c r="S33" s="24">
        <f>SUM(S2:S32)</f>
        <v>-1472.4799999999998</v>
      </c>
    </row>
    <row r="34" spans="1:19" x14ac:dyDescent="0.25">
      <c r="A34" s="25" t="s">
        <v>0</v>
      </c>
      <c r="B34" s="26">
        <f>+B33</f>
        <v>28777.909999999996</v>
      </c>
      <c r="C34" s="26">
        <f>+C33</f>
        <v>15397.800000000001</v>
      </c>
      <c r="D34" s="26">
        <f>+D33</f>
        <v>1730.4499999999998</v>
      </c>
      <c r="E34" s="26">
        <f>+E33</f>
        <v>532.18000000000006</v>
      </c>
      <c r="F34" s="25"/>
      <c r="G34" s="26">
        <f>+G33</f>
        <v>5314.4800000000005</v>
      </c>
      <c r="H34" s="25"/>
      <c r="I34" s="25"/>
      <c r="J34" s="26">
        <f>+J33</f>
        <v>9970.9800000000014</v>
      </c>
      <c r="K34" s="26">
        <f>+K33</f>
        <v>968.5200000000001</v>
      </c>
      <c r="L34" s="26">
        <f>+L33</f>
        <v>4426.79</v>
      </c>
      <c r="M34" s="26">
        <f>+M33</f>
        <v>77.52</v>
      </c>
      <c r="N34" s="25"/>
      <c r="O34" s="25"/>
      <c r="P34" s="25"/>
      <c r="Q34" s="27"/>
      <c r="R34" s="25"/>
      <c r="S34" s="25"/>
    </row>
    <row r="35" spans="1:19" x14ac:dyDescent="0.25">
      <c r="A35" s="28" t="s">
        <v>9</v>
      </c>
      <c r="B35" s="29">
        <f>+B33</f>
        <v>28777.909999999996</v>
      </c>
      <c r="C35" s="29">
        <f>+C33</f>
        <v>15397.800000000001</v>
      </c>
      <c r="D35" s="29">
        <f>+D33</f>
        <v>1730.4499999999998</v>
      </c>
      <c r="E35" s="29">
        <f>+E33</f>
        <v>532.18000000000006</v>
      </c>
      <c r="F35" s="28"/>
      <c r="G35" s="29">
        <f>+G33</f>
        <v>5314.4800000000005</v>
      </c>
      <c r="H35" s="28"/>
      <c r="I35" s="28"/>
      <c r="J35" s="29">
        <f>+J33</f>
        <v>9970.9800000000014</v>
      </c>
      <c r="K35" s="29">
        <f>+K33</f>
        <v>968.5200000000001</v>
      </c>
      <c r="L35" s="29">
        <f>+L33</f>
        <v>4426.79</v>
      </c>
      <c r="M35" s="29">
        <f>+M33</f>
        <v>77.52</v>
      </c>
      <c r="N35" s="28"/>
      <c r="O35" s="28"/>
      <c r="P35" s="28"/>
      <c r="Q35" s="28"/>
      <c r="R35" s="28"/>
      <c r="S35" s="28"/>
    </row>
    <row r="36" spans="1:19" x14ac:dyDescent="0.25">
      <c r="A36" s="28"/>
      <c r="B36" s="28"/>
      <c r="C36" s="28"/>
      <c r="D36" s="28"/>
      <c r="E36" s="28"/>
      <c r="F36" s="28"/>
      <c r="G36" s="28"/>
      <c r="H36" s="36" t="s">
        <v>10</v>
      </c>
      <c r="I36" s="36"/>
      <c r="J36" s="31">
        <v>12085.18</v>
      </c>
      <c r="K36" s="30">
        <f>1134.17-43.97-55.02</f>
        <v>1035.18</v>
      </c>
      <c r="L36" s="30">
        <f>5354.8</f>
        <v>5354.8</v>
      </c>
      <c r="M36" s="28"/>
      <c r="N36" s="28"/>
      <c r="O36" s="28"/>
      <c r="P36" s="28"/>
      <c r="Q36" s="28"/>
      <c r="R36" s="28"/>
      <c r="S36" s="28"/>
    </row>
    <row r="37" spans="1:19" x14ac:dyDescent="0.25">
      <c r="A37" s="28"/>
      <c r="B37" s="28"/>
      <c r="C37" s="28"/>
      <c r="D37" s="28"/>
      <c r="E37" s="28"/>
      <c r="F37" s="28"/>
      <c r="G37" s="28"/>
      <c r="H37" s="36" t="s">
        <v>11</v>
      </c>
      <c r="I37" s="36"/>
      <c r="J37" s="32">
        <f>+J36-J33</f>
        <v>2114.1999999999989</v>
      </c>
      <c r="K37" s="33">
        <f>+K36-K33</f>
        <v>66.659999999999968</v>
      </c>
      <c r="L37" s="33">
        <f>+L36-L33</f>
        <v>928.01000000000022</v>
      </c>
      <c r="M37" s="28"/>
      <c r="N37" s="28"/>
      <c r="O37" s="28"/>
      <c r="P37" s="28"/>
      <c r="Q37" s="28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6" t="s">
        <v>12</v>
      </c>
      <c r="I38" s="36"/>
      <c r="J38" s="31">
        <v>-2072.41</v>
      </c>
      <c r="K38" s="30">
        <v>-103.35</v>
      </c>
      <c r="L38" s="30">
        <f>-900.57+201.06</f>
        <v>-699.51</v>
      </c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6" t="s">
        <v>13</v>
      </c>
      <c r="I39" s="36"/>
      <c r="J39" s="31">
        <v>-2290.6799999999998</v>
      </c>
      <c r="K39" s="30">
        <f>-91.96-64.96</f>
        <v>-156.91999999999999</v>
      </c>
      <c r="L39" s="30">
        <v>-941.32</v>
      </c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6" t="s">
        <v>14</v>
      </c>
      <c r="I40" s="36"/>
      <c r="J40" s="31">
        <v>-176.07</v>
      </c>
      <c r="K40" s="30">
        <v>-30.35</v>
      </c>
      <c r="L40" s="30">
        <v>-14.61</v>
      </c>
      <c r="M40" s="28"/>
      <c r="N40" s="28"/>
      <c r="O40" s="28"/>
      <c r="P40" s="28"/>
      <c r="Q40" s="28"/>
      <c r="R40" s="28"/>
      <c r="S40" s="28"/>
    </row>
    <row r="41" spans="1:19" ht="15.75" thickBot="1" x14ac:dyDescent="0.3">
      <c r="A41" s="28"/>
      <c r="B41" s="28"/>
      <c r="C41" s="28"/>
      <c r="D41" s="28"/>
      <c r="E41" s="28"/>
      <c r="F41" s="28"/>
      <c r="G41" s="28"/>
      <c r="H41" s="37" t="s">
        <v>15</v>
      </c>
      <c r="I41" s="37"/>
      <c r="J41" s="34">
        <f>+J36+J38+J39+J40</f>
        <v>7546.02</v>
      </c>
      <c r="K41" s="35">
        <f>+K36+K38+K39+K40</f>
        <v>744.56000000000006</v>
      </c>
      <c r="L41" s="35">
        <f>+L36+L38+L39+L40</f>
        <v>3699.3599999999997</v>
      </c>
      <c r="M41" s="28"/>
      <c r="N41" s="28"/>
      <c r="O41" s="28"/>
      <c r="P41" s="28"/>
      <c r="Q41" s="28"/>
      <c r="R41" s="28"/>
      <c r="S41" s="28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2025-08-21T05:57:16Z</dcterms:created>
  <dcterms:modified xsi:type="dcterms:W3CDTF">2025-10-07T06:45:55Z</dcterms:modified>
</cp:coreProperties>
</file>