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31F0F0F8-6183-4A1A-B22B-1DA2384E4985}" xr6:coauthVersionLast="47" xr6:coauthVersionMax="47" xr10:uidLastSave="{00000000-0000-0000-0000-000000000000}"/>
  <bookViews>
    <workbookView xWindow="-120" yWindow="-120" windowWidth="20730" windowHeight="11040" xr2:uid="{1EE12DF1-4242-4FDE-8515-3D0938D12F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K35" i="1"/>
  <c r="J35" i="1"/>
  <c r="G33" i="1"/>
  <c r="G35" i="1" s="1"/>
  <c r="D33" i="1"/>
  <c r="D35" i="1" s="1"/>
  <c r="A2" i="1"/>
  <c r="J41" i="1"/>
  <c r="K39" i="1"/>
  <c r="L38" i="1"/>
  <c r="L36" i="1"/>
  <c r="K36" i="1"/>
  <c r="K41" i="1" s="1"/>
  <c r="K34" i="1"/>
  <c r="R33" i="1"/>
  <c r="M33" i="1"/>
  <c r="M35" i="1" s="1"/>
  <c r="L33" i="1"/>
  <c r="L35" i="1" s="1"/>
  <c r="K33" i="1"/>
  <c r="J33" i="1"/>
  <c r="J34" i="1" s="1"/>
  <c r="I33" i="1"/>
  <c r="E33" i="1"/>
  <c r="E35" i="1" s="1"/>
  <c r="B33" i="1"/>
  <c r="B35" i="1" s="1"/>
  <c r="S32" i="1"/>
  <c r="H32" i="1"/>
  <c r="N32" i="1" s="1"/>
  <c r="O32" i="1" s="1"/>
  <c r="F32" i="1"/>
  <c r="A32" i="1"/>
  <c r="S31" i="1"/>
  <c r="N31" i="1"/>
  <c r="H31" i="1"/>
  <c r="F31" i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A28" i="1"/>
  <c r="S27" i="1"/>
  <c r="H27" i="1"/>
  <c r="N27" i="1" s="1"/>
  <c r="F27" i="1"/>
  <c r="A27" i="1"/>
  <c r="S26" i="1"/>
  <c r="N26" i="1"/>
  <c r="F26" i="1"/>
  <c r="A26" i="1"/>
  <c r="S25" i="1"/>
  <c r="N25" i="1"/>
  <c r="O25" i="1" s="1"/>
  <c r="F25" i="1"/>
  <c r="A25" i="1"/>
  <c r="S24" i="1"/>
  <c r="H24" i="1"/>
  <c r="N24" i="1" s="1"/>
  <c r="F24" i="1"/>
  <c r="A24" i="1"/>
  <c r="S23" i="1"/>
  <c r="H23" i="1"/>
  <c r="N23" i="1" s="1"/>
  <c r="O23" i="1" s="1"/>
  <c r="F23" i="1"/>
  <c r="A23" i="1"/>
  <c r="S22" i="1"/>
  <c r="O22" i="1"/>
  <c r="N22" i="1"/>
  <c r="F22" i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C19" i="1"/>
  <c r="C33" i="1" s="1"/>
  <c r="A19" i="1"/>
  <c r="S18" i="1"/>
  <c r="H18" i="1"/>
  <c r="N18" i="1" s="1"/>
  <c r="F18" i="1"/>
  <c r="O18" i="1" s="1"/>
  <c r="A18" i="1"/>
  <c r="S17" i="1"/>
  <c r="H17" i="1"/>
  <c r="N17" i="1" s="1"/>
  <c r="F17" i="1"/>
  <c r="A17" i="1"/>
  <c r="S16" i="1"/>
  <c r="N16" i="1"/>
  <c r="F16" i="1"/>
  <c r="O16" i="1" s="1"/>
  <c r="A16" i="1"/>
  <c r="S15" i="1"/>
  <c r="H15" i="1"/>
  <c r="N15" i="1" s="1"/>
  <c r="F15" i="1"/>
  <c r="A15" i="1"/>
  <c r="S14" i="1"/>
  <c r="H14" i="1"/>
  <c r="N14" i="1" s="1"/>
  <c r="F14" i="1"/>
  <c r="O14" i="1" s="1"/>
  <c r="A14" i="1"/>
  <c r="S13" i="1"/>
  <c r="H13" i="1"/>
  <c r="N13" i="1" s="1"/>
  <c r="F13" i="1"/>
  <c r="A13" i="1"/>
  <c r="S12" i="1"/>
  <c r="N12" i="1"/>
  <c r="O12" i="1" s="1"/>
  <c r="H12" i="1"/>
  <c r="F12" i="1"/>
  <c r="A12" i="1"/>
  <c r="S11" i="1"/>
  <c r="H11" i="1"/>
  <c r="N11" i="1" s="1"/>
  <c r="F11" i="1"/>
  <c r="A11" i="1"/>
  <c r="S10" i="1"/>
  <c r="H10" i="1"/>
  <c r="N10" i="1" s="1"/>
  <c r="F10" i="1"/>
  <c r="O10" i="1" s="1"/>
  <c r="A10" i="1"/>
  <c r="S9" i="1"/>
  <c r="H9" i="1"/>
  <c r="N9" i="1" s="1"/>
  <c r="F9" i="1"/>
  <c r="A9" i="1"/>
  <c r="S8" i="1"/>
  <c r="H8" i="1"/>
  <c r="N8" i="1" s="1"/>
  <c r="O8" i="1" s="1"/>
  <c r="F8" i="1"/>
  <c r="A8" i="1"/>
  <c r="S7" i="1"/>
  <c r="H7" i="1"/>
  <c r="N7" i="1" s="1"/>
  <c r="O7" i="1" s="1"/>
  <c r="F7" i="1"/>
  <c r="A7" i="1"/>
  <c r="S6" i="1"/>
  <c r="H6" i="1"/>
  <c r="N6" i="1" s="1"/>
  <c r="F6" i="1"/>
  <c r="A6" i="1"/>
  <c r="S5" i="1"/>
  <c r="N5" i="1"/>
  <c r="H5" i="1"/>
  <c r="F5" i="1"/>
  <c r="A5" i="1"/>
  <c r="S4" i="1"/>
  <c r="H4" i="1"/>
  <c r="N4" i="1" s="1"/>
  <c r="F4" i="1"/>
  <c r="O4" i="1" s="1"/>
  <c r="A4" i="1"/>
  <c r="S3" i="1"/>
  <c r="H3" i="1"/>
  <c r="N3" i="1" s="1"/>
  <c r="F3" i="1"/>
  <c r="A3" i="1"/>
  <c r="S2" i="1"/>
  <c r="H2" i="1"/>
  <c r="N2" i="1" s="1"/>
  <c r="F2" i="1"/>
  <c r="A1" i="1"/>
  <c r="N33" i="1" l="1"/>
  <c r="S33" i="1"/>
  <c r="O31" i="1"/>
  <c r="K37" i="1"/>
  <c r="O9" i="1"/>
  <c r="L41" i="1"/>
  <c r="O6" i="1"/>
  <c r="O11" i="1"/>
  <c r="O24" i="1"/>
  <c r="O26" i="1"/>
  <c r="O28" i="1"/>
  <c r="E34" i="1"/>
  <c r="L37" i="1"/>
  <c r="H33" i="1"/>
  <c r="O13" i="1"/>
  <c r="O5" i="1"/>
  <c r="O15" i="1"/>
  <c r="F19" i="1"/>
  <c r="F33" i="1" s="1"/>
  <c r="O3" i="1"/>
  <c r="M34" i="1"/>
  <c r="O19" i="1"/>
  <c r="O27" i="1"/>
  <c r="O17" i="1"/>
  <c r="C35" i="1"/>
  <c r="C34" i="1"/>
  <c r="G34" i="1"/>
  <c r="J37" i="1"/>
  <c r="L34" i="1"/>
  <c r="O2" i="1"/>
  <c r="B34" i="1"/>
  <c r="D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<sst xmlns="http://schemas.openxmlformats.org/spreadsheetml/2006/main" count="27" uniqueCount="27">
  <si>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</si>
  <si>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</si>
  <si>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</si>
  <si>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</si>
  <si>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</si>
  <si>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</si>
  <si>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</si>
  <si>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</si>
  <si>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</si>
  <si>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</si>
  <si>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</si>
  <si>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</si>
  <si>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</si>
  <si>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</si>
  <si>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</si>
  <si>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</si>
  <si>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</si>
  <si>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</si>
  <si>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</si>
  <si>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</si>
  <si>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</si>
  <si>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</si>
  <si>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</si>
  <si>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</si>
  <si>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</si>
  <si>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DepositedCashNBTBank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</si>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</sst>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F556-51F8-4FBC-AEB2-1C71A6EE2481}">
  <dimension ref="A1:S42"/>
  <sheetViews>
    <sheetView tabSelected="1" topLeftCell="B1" workbookViewId="0">
      <selection activeCell="T1" sqref="T1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3176.21</v>
      </c>
      <c r="C2" s="8">
        <v>13.54</v>
      </c>
      <c r="D2" s="9">
        <v>254.35</v>
      </c>
      <c r="E2" s="9">
        <v>20.63</v>
      </c>
      <c r="F2" s="10">
        <f>SUM(B2:E2)</f>
        <v>3464.73</v>
      </c>
      <c r="G2" s="11">
        <v>829.82</v>
      </c>
      <c r="H2" s="9">
        <f>1697.09-20.44</f>
        <v>1676.6499999999999</v>
      </c>
      <c r="I2" s="9">
        <v>39.369999999999997</v>
      </c>
      <c r="J2" s="9">
        <v>538.75</v>
      </c>
      <c r="K2" s="9">
        <v>37.4</v>
      </c>
      <c r="L2" s="9">
        <v>342.74</v>
      </c>
      <c r="M2" s="9">
        <v>0</v>
      </c>
      <c r="N2" s="12">
        <f t="shared" ref="N2:N32" si="0">SUM(G2:M2)</f>
        <v>3464.7299999999996</v>
      </c>
      <c r="O2" s="13">
        <f t="shared" ref="O2:O32" si="1">+F2-N2</f>
        <v>0</v>
      </c>
      <c r="P2" s="9">
        <v>829.83</v>
      </c>
      <c r="Q2" s="14">
        <v>45841</v>
      </c>
      <c r="R2" s="15"/>
      <c r="S2" s="16">
        <f t="shared" ref="S2:S32" si="2">P2-G2-R2</f>
        <v>9.9999999999909051E-3</v>
      </c>
    </row>
    <row r="3" spans="1:19" x14ac:dyDescent="0.25">
      <c r="A3" s="7">
        <f>'[1]Cash Variance'!A4</f>
        <v>45840</v>
      </c>
      <c r="B3" s="8">
        <v>2060.6799999999998</v>
      </c>
      <c r="C3" s="9">
        <v>8.68</v>
      </c>
      <c r="D3" s="9">
        <v>164.99</v>
      </c>
      <c r="E3" s="9">
        <v>13.55</v>
      </c>
      <c r="F3" s="10">
        <f t="shared" ref="F3:F32" si="3">SUM(B3:E3)</f>
        <v>2247.8999999999996</v>
      </c>
      <c r="G3" s="9">
        <v>227.92</v>
      </c>
      <c r="H3" s="9">
        <f>1362.26-10.69</f>
        <v>1351.57</v>
      </c>
      <c r="I3" s="9">
        <v>0</v>
      </c>
      <c r="J3" s="9">
        <v>499.41</v>
      </c>
      <c r="K3" s="9">
        <v>0</v>
      </c>
      <c r="L3" s="9">
        <v>169</v>
      </c>
      <c r="M3" s="9">
        <v>0</v>
      </c>
      <c r="N3" s="12">
        <f t="shared" si="0"/>
        <v>2247.9</v>
      </c>
      <c r="O3" s="13">
        <f t="shared" si="1"/>
        <v>0</v>
      </c>
      <c r="P3" s="9">
        <v>228.53</v>
      </c>
      <c r="Q3" s="14">
        <v>45841</v>
      </c>
      <c r="R3" s="15"/>
      <c r="S3" s="16">
        <f t="shared" si="2"/>
        <v>0.61000000000001364</v>
      </c>
    </row>
    <row r="4" spans="1:19" x14ac:dyDescent="0.25">
      <c r="A4" s="7">
        <f>'[1]Cash Variance'!A5</f>
        <v>45841</v>
      </c>
      <c r="B4" s="8">
        <v>2715.77</v>
      </c>
      <c r="C4" s="8">
        <v>4.33</v>
      </c>
      <c r="D4" s="9">
        <v>217.48</v>
      </c>
      <c r="E4" s="9">
        <v>18.739999999999998</v>
      </c>
      <c r="F4" s="10">
        <f t="shared" si="3"/>
        <v>2956.3199999999997</v>
      </c>
      <c r="G4" s="9">
        <v>776.44</v>
      </c>
      <c r="H4" s="9">
        <f>1510.16-14.29</f>
        <v>1495.8700000000001</v>
      </c>
      <c r="I4" s="9">
        <v>9.17</v>
      </c>
      <c r="J4" s="9">
        <v>511.67</v>
      </c>
      <c r="K4" s="9">
        <v>0</v>
      </c>
      <c r="L4" s="9">
        <v>163.16999999999999</v>
      </c>
      <c r="M4" s="9">
        <v>0</v>
      </c>
      <c r="N4" s="12">
        <f t="shared" si="0"/>
        <v>2956.3200000000006</v>
      </c>
      <c r="O4" s="13">
        <f t="shared" si="1"/>
        <v>0</v>
      </c>
      <c r="P4" s="9">
        <v>687.69</v>
      </c>
      <c r="Q4" s="14">
        <v>45845</v>
      </c>
      <c r="R4" s="15"/>
      <c r="S4" s="16">
        <f t="shared" si="2"/>
        <v>-88.75</v>
      </c>
    </row>
    <row r="5" spans="1:19" x14ac:dyDescent="0.25">
      <c r="A5" s="7">
        <f>'[1]Cash Variance'!A6</f>
        <v>45842</v>
      </c>
      <c r="B5" s="8">
        <v>1522.89</v>
      </c>
      <c r="C5" s="8">
        <v>15.54</v>
      </c>
      <c r="D5" s="9">
        <v>121.93</v>
      </c>
      <c r="E5" s="9">
        <v>5</v>
      </c>
      <c r="F5" s="10">
        <f t="shared" si="3"/>
        <v>1665.3600000000001</v>
      </c>
      <c r="G5" s="9">
        <v>247.3</v>
      </c>
      <c r="H5" s="9">
        <f>938.33-3.75</f>
        <v>934.58</v>
      </c>
      <c r="I5" s="9">
        <v>0</v>
      </c>
      <c r="J5" s="9">
        <v>383.31</v>
      </c>
      <c r="K5" s="9">
        <v>53.84</v>
      </c>
      <c r="L5" s="9">
        <v>46.33</v>
      </c>
      <c r="M5" s="9">
        <v>0</v>
      </c>
      <c r="N5" s="12">
        <f t="shared" si="0"/>
        <v>1665.36</v>
      </c>
      <c r="O5" s="13">
        <f t="shared" si="1"/>
        <v>0</v>
      </c>
      <c r="P5" s="9">
        <v>248.57</v>
      </c>
      <c r="Q5" s="14">
        <v>45845</v>
      </c>
      <c r="R5" s="15"/>
      <c r="S5" s="16">
        <f t="shared" si="2"/>
        <v>1.2699999999999818</v>
      </c>
    </row>
    <row r="6" spans="1:19" x14ac:dyDescent="0.25">
      <c r="A6" s="7">
        <f>'[1]Cash Variance'!A7</f>
        <v>45843</v>
      </c>
      <c r="B6" s="8">
        <v>2651.49</v>
      </c>
      <c r="C6" s="8">
        <v>18.93</v>
      </c>
      <c r="D6" s="9">
        <v>212.32</v>
      </c>
      <c r="E6" s="9">
        <v>33.119999999999997</v>
      </c>
      <c r="F6" s="10">
        <f t="shared" si="3"/>
        <v>2915.8599999999997</v>
      </c>
      <c r="G6" s="9">
        <v>625.63</v>
      </c>
      <c r="H6" s="9">
        <f>1769.77-5.4</f>
        <v>1764.37</v>
      </c>
      <c r="I6" s="9">
        <v>65.02</v>
      </c>
      <c r="J6" s="9">
        <v>310.23</v>
      </c>
      <c r="K6" s="9">
        <v>59.13</v>
      </c>
      <c r="L6" s="9">
        <v>91.48</v>
      </c>
      <c r="M6" s="9">
        <v>0</v>
      </c>
      <c r="N6" s="12">
        <f t="shared" si="0"/>
        <v>2915.86</v>
      </c>
      <c r="O6" s="13">
        <f t="shared" si="1"/>
        <v>0</v>
      </c>
      <c r="P6" s="9">
        <v>622.29999999999995</v>
      </c>
      <c r="Q6" s="14">
        <v>45845</v>
      </c>
      <c r="R6" s="15"/>
      <c r="S6" s="16">
        <f t="shared" si="2"/>
        <v>-3.3300000000000409</v>
      </c>
    </row>
    <row r="7" spans="1:19" x14ac:dyDescent="0.25">
      <c r="A7" s="7">
        <f>'[1]Cash Variance'!A8</f>
        <v>45844</v>
      </c>
      <c r="B7" s="8">
        <v>2691.17</v>
      </c>
      <c r="C7" s="8">
        <v>17.64</v>
      </c>
      <c r="D7" s="9">
        <v>215.46</v>
      </c>
      <c r="E7" s="9">
        <v>24.55</v>
      </c>
      <c r="F7" s="10">
        <f t="shared" si="3"/>
        <v>2948.82</v>
      </c>
      <c r="G7" s="9">
        <v>503.34</v>
      </c>
      <c r="H7" s="9">
        <f>1655.1-6</f>
        <v>1649.1</v>
      </c>
      <c r="I7" s="9">
        <v>46.92</v>
      </c>
      <c r="J7" s="9">
        <v>559.04999999999995</v>
      </c>
      <c r="K7" s="9">
        <v>50.54</v>
      </c>
      <c r="L7" s="9">
        <v>139.87</v>
      </c>
      <c r="M7" s="9">
        <v>0</v>
      </c>
      <c r="N7" s="12">
        <f t="shared" si="0"/>
        <v>2948.8199999999997</v>
      </c>
      <c r="O7" s="13">
        <f t="shared" si="1"/>
        <v>0</v>
      </c>
      <c r="P7" s="9">
        <v>503</v>
      </c>
      <c r="Q7" s="14">
        <v>45845</v>
      </c>
      <c r="R7" s="15"/>
      <c r="S7" s="16">
        <f t="shared" si="2"/>
        <v>-0.33999999999997499</v>
      </c>
    </row>
    <row r="8" spans="1:19" x14ac:dyDescent="0.25">
      <c r="A8" s="7">
        <f>'[1]Cash Variance'!A9</f>
        <v>45845</v>
      </c>
      <c r="B8" s="8">
        <v>2347.64</v>
      </c>
      <c r="C8" s="8">
        <v>9.0299999999999994</v>
      </c>
      <c r="D8" s="9">
        <v>187.95</v>
      </c>
      <c r="E8" s="9">
        <v>19.190000000000001</v>
      </c>
      <c r="F8" s="10">
        <f t="shared" si="3"/>
        <v>2563.81</v>
      </c>
      <c r="G8" s="9">
        <v>562.20000000000005</v>
      </c>
      <c r="H8" s="9">
        <f>1364.97-15.22</f>
        <v>1349.75</v>
      </c>
      <c r="I8" s="9">
        <v>0</v>
      </c>
      <c r="J8" s="9">
        <v>472.51</v>
      </c>
      <c r="K8" s="9">
        <v>34.99</v>
      </c>
      <c r="L8" s="9">
        <v>144.36000000000001</v>
      </c>
      <c r="M8" s="9">
        <v>0</v>
      </c>
      <c r="N8" s="12">
        <f t="shared" si="0"/>
        <v>2563.81</v>
      </c>
      <c r="O8" s="13">
        <f t="shared" si="1"/>
        <v>0</v>
      </c>
      <c r="P8" s="9">
        <v>560.85</v>
      </c>
      <c r="Q8" s="14">
        <v>45847</v>
      </c>
      <c r="R8" s="15"/>
      <c r="S8" s="16">
        <f t="shared" si="2"/>
        <v>-1.3500000000000227</v>
      </c>
    </row>
    <row r="9" spans="1:19" x14ac:dyDescent="0.25">
      <c r="A9" s="7">
        <f>'[1]Cash Variance'!A10</f>
        <v>45846</v>
      </c>
      <c r="B9" s="8">
        <v>2258.41</v>
      </c>
      <c r="C9" s="8">
        <v>8.49</v>
      </c>
      <c r="D9" s="17">
        <v>180.78</v>
      </c>
      <c r="E9" s="9">
        <v>6.03</v>
      </c>
      <c r="F9" s="10">
        <f t="shared" si="3"/>
        <v>2453.71</v>
      </c>
      <c r="G9" s="9">
        <v>497.67</v>
      </c>
      <c r="H9" s="9">
        <f>1147.62-2.66</f>
        <v>1144.9599999999998</v>
      </c>
      <c r="I9" s="9">
        <v>9.17</v>
      </c>
      <c r="J9" s="9">
        <v>569.20000000000005</v>
      </c>
      <c r="K9" s="9">
        <v>0</v>
      </c>
      <c r="L9" s="9">
        <v>232.71</v>
      </c>
      <c r="M9" s="9">
        <v>0</v>
      </c>
      <c r="N9" s="12">
        <f t="shared" si="0"/>
        <v>2453.71</v>
      </c>
      <c r="O9" s="13">
        <f t="shared" si="1"/>
        <v>0</v>
      </c>
      <c r="P9" s="9">
        <v>497.6</v>
      </c>
      <c r="Q9" s="14">
        <v>45847</v>
      </c>
      <c r="R9" s="15"/>
      <c r="S9" s="16">
        <f t="shared" si="2"/>
        <v>-6.9999999999993179E-2</v>
      </c>
    </row>
    <row r="10" spans="1:19" x14ac:dyDescent="0.25">
      <c r="A10" s="7">
        <f>'[1]Cash Variance'!A11</f>
        <v>45847</v>
      </c>
      <c r="B10" s="8">
        <v>2155.14</v>
      </c>
      <c r="C10" s="8">
        <v>5.41</v>
      </c>
      <c r="D10" s="17">
        <v>172.55</v>
      </c>
      <c r="E10" s="9">
        <v>8</v>
      </c>
      <c r="F10" s="10">
        <f t="shared" si="3"/>
        <v>2341.1</v>
      </c>
      <c r="G10" s="9">
        <v>494.37</v>
      </c>
      <c r="H10" s="9">
        <f>1509.8-8.08</f>
        <v>1501.72</v>
      </c>
      <c r="I10" s="9">
        <v>9.17</v>
      </c>
      <c r="J10" s="9">
        <v>212.65</v>
      </c>
      <c r="K10" s="9">
        <v>0</v>
      </c>
      <c r="L10" s="9">
        <v>115.1</v>
      </c>
      <c r="M10" s="9">
        <v>8.09</v>
      </c>
      <c r="N10" s="12">
        <f t="shared" si="0"/>
        <v>2341.1000000000004</v>
      </c>
      <c r="O10" s="13">
        <f t="shared" si="1"/>
        <v>0</v>
      </c>
      <c r="P10" s="9">
        <v>95</v>
      </c>
      <c r="Q10" s="14">
        <v>45848</v>
      </c>
      <c r="R10" s="15"/>
      <c r="S10" s="16">
        <f t="shared" si="2"/>
        <v>-399.37</v>
      </c>
    </row>
    <row r="11" spans="1:19" x14ac:dyDescent="0.25">
      <c r="A11" s="7">
        <f>'[1]Cash Variance'!A12</f>
        <v>45848</v>
      </c>
      <c r="B11" s="8">
        <v>2403.89</v>
      </c>
      <c r="C11" s="8">
        <v>14.39</v>
      </c>
      <c r="D11" s="9">
        <v>192.45</v>
      </c>
      <c r="E11" s="9">
        <v>15.82</v>
      </c>
      <c r="F11" s="10">
        <f t="shared" si="3"/>
        <v>2626.5499999999997</v>
      </c>
      <c r="G11" s="9">
        <v>402.4</v>
      </c>
      <c r="H11" s="9">
        <f>1585.26-7.35</f>
        <v>1577.91</v>
      </c>
      <c r="I11" s="9">
        <v>10.79</v>
      </c>
      <c r="J11" s="9">
        <v>496.01</v>
      </c>
      <c r="K11" s="9">
        <v>0</v>
      </c>
      <c r="L11" s="9">
        <v>129.44</v>
      </c>
      <c r="M11" s="9">
        <v>10</v>
      </c>
      <c r="N11" s="12">
        <f t="shared" si="0"/>
        <v>2626.5499999999997</v>
      </c>
      <c r="O11" s="13">
        <f t="shared" si="1"/>
        <v>0</v>
      </c>
      <c r="P11" s="9">
        <v>403.19</v>
      </c>
      <c r="Q11" s="14">
        <v>45849</v>
      </c>
      <c r="R11" s="15"/>
      <c r="S11" s="16">
        <f t="shared" si="2"/>
        <v>0.79000000000002046</v>
      </c>
    </row>
    <row r="12" spans="1:19" x14ac:dyDescent="0.25">
      <c r="A12" s="7">
        <f>'[1]Cash Variance'!A13</f>
        <v>45849</v>
      </c>
      <c r="B12" s="8">
        <v>2624.67</v>
      </c>
      <c r="C12" s="8">
        <v>13.47</v>
      </c>
      <c r="D12" s="9">
        <v>210.13</v>
      </c>
      <c r="E12" s="9">
        <v>21.98</v>
      </c>
      <c r="F12" s="10">
        <f t="shared" si="3"/>
        <v>2870.25</v>
      </c>
      <c r="G12" s="9">
        <v>530.58000000000004</v>
      </c>
      <c r="H12" s="9">
        <f>1651.4-9.35</f>
        <v>1642.0500000000002</v>
      </c>
      <c r="I12" s="9">
        <v>23.19</v>
      </c>
      <c r="J12" s="9">
        <v>456.28</v>
      </c>
      <c r="K12" s="9">
        <v>75.010000000000005</v>
      </c>
      <c r="L12" s="9">
        <v>143.13999999999999</v>
      </c>
      <c r="M12" s="9">
        <v>0</v>
      </c>
      <c r="N12" s="12">
        <f t="shared" si="0"/>
        <v>2870.2500000000005</v>
      </c>
      <c r="O12" s="13">
        <f t="shared" si="1"/>
        <v>0</v>
      </c>
      <c r="P12" s="9">
        <v>530.58000000000004</v>
      </c>
      <c r="Q12" s="14">
        <v>45853</v>
      </c>
      <c r="R12" s="15"/>
      <c r="S12" s="16">
        <f t="shared" si="2"/>
        <v>0</v>
      </c>
    </row>
    <row r="13" spans="1:19" x14ac:dyDescent="0.25">
      <c r="A13" s="7">
        <f>'[1]Cash Variance'!A14</f>
        <v>45850</v>
      </c>
      <c r="B13" s="8">
        <v>2526.92</v>
      </c>
      <c r="C13" s="8">
        <v>14.19</v>
      </c>
      <c r="D13" s="9">
        <v>202.33</v>
      </c>
      <c r="E13" s="9">
        <v>17.64</v>
      </c>
      <c r="F13" s="10">
        <f t="shared" si="3"/>
        <v>2761.08</v>
      </c>
      <c r="G13" s="9">
        <v>464.2</v>
      </c>
      <c r="H13" s="9">
        <f>1628.15-15.16</f>
        <v>1612.99</v>
      </c>
      <c r="I13" s="9">
        <v>0</v>
      </c>
      <c r="J13" s="9">
        <v>421.08</v>
      </c>
      <c r="K13" s="9">
        <v>73.040000000000006</v>
      </c>
      <c r="L13" s="9">
        <v>189.77</v>
      </c>
      <c r="M13" s="9">
        <v>0</v>
      </c>
      <c r="N13" s="12">
        <f t="shared" si="0"/>
        <v>2761.08</v>
      </c>
      <c r="O13" s="13">
        <f t="shared" si="1"/>
        <v>0</v>
      </c>
      <c r="P13" s="9">
        <v>460</v>
      </c>
      <c r="Q13" s="14">
        <v>45853</v>
      </c>
      <c r="R13" s="15"/>
      <c r="S13" s="16">
        <f t="shared" si="2"/>
        <v>-4.1999999999999886</v>
      </c>
    </row>
    <row r="14" spans="1:19" x14ac:dyDescent="0.25">
      <c r="A14" s="7">
        <f>'[1]Cash Variance'!A15</f>
        <v>45851</v>
      </c>
      <c r="B14" s="8">
        <v>2532.81</v>
      </c>
      <c r="C14" s="8">
        <v>27.88</v>
      </c>
      <c r="D14" s="9">
        <v>202.75</v>
      </c>
      <c r="E14" s="9">
        <v>27.53</v>
      </c>
      <c r="F14" s="10">
        <f t="shared" si="3"/>
        <v>2790.9700000000003</v>
      </c>
      <c r="G14" s="9">
        <v>421.72</v>
      </c>
      <c r="H14" s="9">
        <f>1684.48-11.87</f>
        <v>1672.6100000000001</v>
      </c>
      <c r="I14" s="9">
        <v>0</v>
      </c>
      <c r="J14" s="9">
        <v>567.27</v>
      </c>
      <c r="K14" s="9">
        <v>15.47</v>
      </c>
      <c r="L14" s="9">
        <v>103.9</v>
      </c>
      <c r="M14" s="9">
        <v>10</v>
      </c>
      <c r="N14" s="12">
        <f t="shared" si="0"/>
        <v>2790.97</v>
      </c>
      <c r="O14" s="13">
        <f t="shared" si="1"/>
        <v>0</v>
      </c>
      <c r="P14" s="9">
        <v>422</v>
      </c>
      <c r="Q14" s="14">
        <v>45853</v>
      </c>
      <c r="R14" s="15"/>
      <c r="S14" s="16">
        <f t="shared" si="2"/>
        <v>0.27999999999997272</v>
      </c>
    </row>
    <row r="15" spans="1:19" x14ac:dyDescent="0.25">
      <c r="A15" s="7">
        <f>'[1]Cash Variance'!A16</f>
        <v>45852</v>
      </c>
      <c r="B15" s="8">
        <v>2327.63</v>
      </c>
      <c r="C15" s="8">
        <v>21.01</v>
      </c>
      <c r="D15" s="11">
        <v>186.39</v>
      </c>
      <c r="E15" s="9">
        <v>9</v>
      </c>
      <c r="F15" s="10">
        <f t="shared" si="3"/>
        <v>2544.0300000000002</v>
      </c>
      <c r="G15" s="9">
        <v>485.53</v>
      </c>
      <c r="H15" s="9">
        <f>1114.42-19.37</f>
        <v>1095.0500000000002</v>
      </c>
      <c r="I15" s="9">
        <v>135.59</v>
      </c>
      <c r="J15" s="9">
        <v>563</v>
      </c>
      <c r="K15" s="9">
        <v>40.94</v>
      </c>
      <c r="L15" s="9">
        <v>223.92</v>
      </c>
      <c r="M15" s="9">
        <v>0</v>
      </c>
      <c r="N15" s="12">
        <f t="shared" si="0"/>
        <v>2544.0300000000002</v>
      </c>
      <c r="O15" s="13">
        <f t="shared" si="1"/>
        <v>0</v>
      </c>
      <c r="P15" s="9">
        <v>485.64</v>
      </c>
      <c r="Q15" s="14">
        <v>45855</v>
      </c>
      <c r="R15" s="15"/>
      <c r="S15" s="16">
        <f t="shared" si="2"/>
        <v>0.11000000000001364</v>
      </c>
    </row>
    <row r="16" spans="1:19" x14ac:dyDescent="0.25">
      <c r="A16" s="7">
        <f>'[1]Cash Variance'!A17</f>
        <v>45853</v>
      </c>
      <c r="B16" s="8">
        <v>2865.52</v>
      </c>
      <c r="C16" s="8">
        <v>9.1300000000000008</v>
      </c>
      <c r="D16" s="11">
        <v>229.42</v>
      </c>
      <c r="E16" s="11">
        <v>12.39</v>
      </c>
      <c r="F16" s="10">
        <f t="shared" si="3"/>
        <v>3116.46</v>
      </c>
      <c r="G16" s="11">
        <v>732.19</v>
      </c>
      <c r="H16" s="11">
        <v>1685.49</v>
      </c>
      <c r="I16" s="11">
        <v>20.34</v>
      </c>
      <c r="J16" s="11">
        <v>531.16999999999996</v>
      </c>
      <c r="K16" s="11">
        <v>0</v>
      </c>
      <c r="L16" s="11">
        <v>148.72999999999999</v>
      </c>
      <c r="M16" s="9">
        <v>0</v>
      </c>
      <c r="N16" s="12">
        <f t="shared" si="0"/>
        <v>3117.9200000000005</v>
      </c>
      <c r="O16" s="13">
        <f t="shared" si="1"/>
        <v>-1.4600000000004911</v>
      </c>
      <c r="P16" s="9">
        <v>732.5</v>
      </c>
      <c r="Q16" s="14">
        <v>45855</v>
      </c>
      <c r="R16" s="15"/>
      <c r="S16" s="16">
        <f t="shared" si="2"/>
        <v>0.30999999999994543</v>
      </c>
    </row>
    <row r="17" spans="1:19" x14ac:dyDescent="0.25">
      <c r="A17" s="7">
        <f>'[1]Cash Variance'!A18</f>
        <v>45854</v>
      </c>
      <c r="B17" s="8">
        <v>2305.6799999999998</v>
      </c>
      <c r="C17" s="8">
        <v>0</v>
      </c>
      <c r="D17" s="11">
        <v>184.54</v>
      </c>
      <c r="E17" s="11">
        <v>5</v>
      </c>
      <c r="F17" s="10">
        <f t="shared" si="3"/>
        <v>2495.2199999999998</v>
      </c>
      <c r="G17" s="11">
        <v>340.39</v>
      </c>
      <c r="H17" s="11">
        <f>1413.74-16.41</f>
        <v>1397.33</v>
      </c>
      <c r="I17" s="11">
        <v>58.26</v>
      </c>
      <c r="J17" s="11">
        <v>448.59</v>
      </c>
      <c r="K17" s="11">
        <v>15.47</v>
      </c>
      <c r="L17" s="11">
        <v>235.18</v>
      </c>
      <c r="M17" s="9">
        <v>0</v>
      </c>
      <c r="N17" s="12">
        <f t="shared" si="0"/>
        <v>2495.2199999999993</v>
      </c>
      <c r="O17" s="13">
        <f t="shared" si="1"/>
        <v>0</v>
      </c>
      <c r="P17" s="9">
        <v>346.25</v>
      </c>
      <c r="Q17" s="14">
        <v>45859</v>
      </c>
      <c r="R17" s="15"/>
      <c r="S17" s="16">
        <f t="shared" si="2"/>
        <v>5.8600000000000136</v>
      </c>
    </row>
    <row r="18" spans="1:19" x14ac:dyDescent="0.25">
      <c r="A18" s="7">
        <f>'[1]Cash Variance'!A19</f>
        <v>45855</v>
      </c>
      <c r="B18" s="8">
        <v>3227.89</v>
      </c>
      <c r="C18" s="8">
        <v>23.09</v>
      </c>
      <c r="D18" s="11">
        <v>258.43</v>
      </c>
      <c r="E18" s="11">
        <v>28.95</v>
      </c>
      <c r="F18" s="10">
        <f t="shared" si="3"/>
        <v>3538.3599999999997</v>
      </c>
      <c r="G18" s="11">
        <v>699.03</v>
      </c>
      <c r="H18" s="11">
        <f>1989.07-22.54</f>
        <v>1966.53</v>
      </c>
      <c r="I18" s="11">
        <v>16.559999999999999</v>
      </c>
      <c r="J18" s="11">
        <v>582</v>
      </c>
      <c r="K18" s="11">
        <v>59.96</v>
      </c>
      <c r="L18" s="11">
        <v>214.28</v>
      </c>
      <c r="M18" s="9">
        <v>0</v>
      </c>
      <c r="N18" s="12">
        <f t="shared" si="0"/>
        <v>3538.36</v>
      </c>
      <c r="O18" s="13">
        <f t="shared" si="1"/>
        <v>0</v>
      </c>
      <c r="P18" s="9">
        <v>699.64</v>
      </c>
      <c r="Q18" s="14">
        <v>45859</v>
      </c>
      <c r="R18" s="15"/>
      <c r="S18" s="16">
        <f t="shared" si="2"/>
        <v>0.61000000000001364</v>
      </c>
    </row>
    <row r="19" spans="1:19" x14ac:dyDescent="0.25">
      <c r="A19" s="7">
        <f>'[1]Cash Variance'!A20</f>
        <v>45856</v>
      </c>
      <c r="B19" s="8">
        <v>2986.95</v>
      </c>
      <c r="C19" s="8">
        <f>9.9+35.96</f>
        <v>45.86</v>
      </c>
      <c r="D19" s="9">
        <v>239.11</v>
      </c>
      <c r="E19" s="9">
        <v>38.26</v>
      </c>
      <c r="F19" s="10">
        <f>SUM(B19:E19)</f>
        <v>3310.1800000000003</v>
      </c>
      <c r="G19" s="9">
        <v>438.61</v>
      </c>
      <c r="H19" s="9">
        <f>2001.34-22.41</f>
        <v>1978.9299999999998</v>
      </c>
      <c r="I19" s="9">
        <v>36.68</v>
      </c>
      <c r="J19" s="9">
        <v>576.08000000000004</v>
      </c>
      <c r="K19" s="9">
        <v>60</v>
      </c>
      <c r="L19" s="9">
        <v>219.88</v>
      </c>
      <c r="M19" s="9">
        <v>0</v>
      </c>
      <c r="N19" s="12">
        <f t="shared" si="0"/>
        <v>3310.18</v>
      </c>
      <c r="O19" s="13">
        <f t="shared" si="1"/>
        <v>0</v>
      </c>
      <c r="P19" s="9">
        <v>440</v>
      </c>
      <c r="Q19" s="14">
        <v>45859</v>
      </c>
      <c r="R19" s="15"/>
      <c r="S19" s="16">
        <f t="shared" si="2"/>
        <v>1.3899999999999864</v>
      </c>
    </row>
    <row r="20" spans="1:19" x14ac:dyDescent="0.25">
      <c r="A20" s="7">
        <f>'[1]Cash Variance'!A21</f>
        <v>45857</v>
      </c>
      <c r="B20" s="8">
        <v>3400.21</v>
      </c>
      <c r="C20" s="8">
        <v>18.07</v>
      </c>
      <c r="D20" s="9">
        <v>272.16000000000003</v>
      </c>
      <c r="E20" s="9">
        <v>18.57</v>
      </c>
      <c r="F20" s="10">
        <f>SUM(B20:E20)</f>
        <v>3709.01</v>
      </c>
      <c r="G20" s="9">
        <v>345.05</v>
      </c>
      <c r="H20" s="9">
        <v>1969.1</v>
      </c>
      <c r="I20" s="9">
        <v>23.4</v>
      </c>
      <c r="J20" s="9">
        <v>1112.6400000000001</v>
      </c>
      <c r="K20" s="9">
        <v>19.59</v>
      </c>
      <c r="L20" s="9">
        <v>240.66</v>
      </c>
      <c r="M20" s="9">
        <v>0</v>
      </c>
      <c r="N20" s="12">
        <f t="shared" si="0"/>
        <v>3710.4400000000005</v>
      </c>
      <c r="O20" s="13">
        <f t="shared" si="1"/>
        <v>-1.430000000000291</v>
      </c>
      <c r="P20" s="9"/>
      <c r="Q20" s="14"/>
      <c r="R20" s="15"/>
      <c r="S20" s="16">
        <f t="shared" si="2"/>
        <v>-345.05</v>
      </c>
    </row>
    <row r="21" spans="1:19" x14ac:dyDescent="0.25">
      <c r="A21" s="7">
        <f>'[1]Cash Variance'!A22</f>
        <v>45858</v>
      </c>
      <c r="B21" s="8">
        <v>2795.23</v>
      </c>
      <c r="C21" s="8">
        <v>5.48</v>
      </c>
      <c r="D21" s="9">
        <v>223.75</v>
      </c>
      <c r="E21" s="9">
        <v>5.45</v>
      </c>
      <c r="F21" s="10">
        <f t="shared" si="3"/>
        <v>3029.91</v>
      </c>
      <c r="G21" s="9">
        <v>616.27</v>
      </c>
      <c r="H21" s="9">
        <v>1298.04</v>
      </c>
      <c r="I21" s="9">
        <v>34.67</v>
      </c>
      <c r="J21" s="9">
        <v>831.09</v>
      </c>
      <c r="K21" s="9">
        <v>98.18</v>
      </c>
      <c r="L21" s="9">
        <v>151.9</v>
      </c>
      <c r="M21" s="9">
        <v>0</v>
      </c>
      <c r="N21" s="12">
        <f t="shared" si="0"/>
        <v>3030.15</v>
      </c>
      <c r="O21" s="13">
        <f t="shared" si="1"/>
        <v>-0.24000000000023647</v>
      </c>
      <c r="P21" s="9"/>
      <c r="Q21" s="14"/>
      <c r="R21" s="15"/>
      <c r="S21" s="16">
        <f t="shared" si="2"/>
        <v>-616.27</v>
      </c>
    </row>
    <row r="22" spans="1:19" x14ac:dyDescent="0.25">
      <c r="A22" s="7">
        <f>'[1]Cash Variance'!A23</f>
        <v>45859</v>
      </c>
      <c r="B22" s="8">
        <v>2670.58</v>
      </c>
      <c r="C22" s="8">
        <v>21.32</v>
      </c>
      <c r="D22" s="9">
        <v>213.8</v>
      </c>
      <c r="E22" s="11">
        <v>16.399999999999999</v>
      </c>
      <c r="F22" s="10">
        <f t="shared" si="3"/>
        <v>2922.1000000000004</v>
      </c>
      <c r="G22" s="9">
        <v>518.95000000000005</v>
      </c>
      <c r="H22" s="9">
        <v>1764.42</v>
      </c>
      <c r="I22" s="9">
        <v>0</v>
      </c>
      <c r="J22" s="9">
        <v>495.31</v>
      </c>
      <c r="K22" s="9">
        <v>54.8</v>
      </c>
      <c r="L22" s="9">
        <v>89.58</v>
      </c>
      <c r="M22" s="9">
        <v>0</v>
      </c>
      <c r="N22" s="12">
        <f t="shared" si="0"/>
        <v>2923.06</v>
      </c>
      <c r="O22" s="13">
        <f t="shared" si="1"/>
        <v>-0.95999999999958163</v>
      </c>
      <c r="P22" s="9"/>
      <c r="Q22" s="14"/>
      <c r="R22" s="18"/>
      <c r="S22" s="16">
        <f t="shared" si="2"/>
        <v>-518.95000000000005</v>
      </c>
    </row>
    <row r="23" spans="1:19" x14ac:dyDescent="0.25">
      <c r="A23" s="7">
        <f>'[1]Cash Variance'!A24</f>
        <v>45860</v>
      </c>
      <c r="B23" s="8">
        <v>2673.15</v>
      </c>
      <c r="C23" s="8">
        <v>42.96</v>
      </c>
      <c r="D23" s="9">
        <v>213.99</v>
      </c>
      <c r="E23" s="11">
        <v>14.91</v>
      </c>
      <c r="F23" s="10">
        <f t="shared" si="3"/>
        <v>2945.01</v>
      </c>
      <c r="G23" s="9">
        <v>651.74</v>
      </c>
      <c r="H23" s="9">
        <f>1714.1-2.41</f>
        <v>1711.6899999999998</v>
      </c>
      <c r="I23" s="9">
        <v>0</v>
      </c>
      <c r="J23" s="9">
        <v>493.15</v>
      </c>
      <c r="K23" s="9">
        <v>21.27</v>
      </c>
      <c r="L23" s="9">
        <v>66.16</v>
      </c>
      <c r="M23" s="9">
        <v>0</v>
      </c>
      <c r="N23" s="12">
        <f t="shared" si="0"/>
        <v>2944.0099999999998</v>
      </c>
      <c r="O23" s="13">
        <f t="shared" si="1"/>
        <v>1.0000000000004547</v>
      </c>
      <c r="P23" s="9"/>
      <c r="Q23" s="14"/>
      <c r="R23" s="15"/>
      <c r="S23" s="16">
        <f t="shared" si="2"/>
        <v>-651.74</v>
      </c>
    </row>
    <row r="24" spans="1:19" x14ac:dyDescent="0.25">
      <c r="A24" s="7">
        <f>'[1]Cash Variance'!A25</f>
        <v>45861</v>
      </c>
      <c r="B24" s="8">
        <v>2640.63</v>
      </c>
      <c r="C24" s="8">
        <v>26.19</v>
      </c>
      <c r="D24" s="9">
        <v>211.44</v>
      </c>
      <c r="E24" s="9">
        <v>23.51</v>
      </c>
      <c r="F24" s="10">
        <f t="shared" si="3"/>
        <v>2901.7700000000004</v>
      </c>
      <c r="G24" s="9">
        <v>528.47</v>
      </c>
      <c r="H24" s="9">
        <f>1455.93-4.72</f>
        <v>1451.21</v>
      </c>
      <c r="I24" s="9">
        <v>48.85</v>
      </c>
      <c r="J24" s="9">
        <v>625.23</v>
      </c>
      <c r="K24" s="9">
        <v>123.59</v>
      </c>
      <c r="L24" s="9">
        <v>124.42</v>
      </c>
      <c r="M24" s="9">
        <v>0</v>
      </c>
      <c r="N24" s="12">
        <f t="shared" si="0"/>
        <v>2901.7700000000004</v>
      </c>
      <c r="O24" s="13">
        <f t="shared" si="1"/>
        <v>0</v>
      </c>
      <c r="P24" s="9"/>
      <c r="Q24" s="14"/>
      <c r="R24" s="15"/>
      <c r="S24" s="16">
        <f t="shared" si="2"/>
        <v>-528.47</v>
      </c>
    </row>
    <row r="25" spans="1:19" x14ac:dyDescent="0.25">
      <c r="A25" s="7">
        <f>'[1]Cash Variance'!A26</f>
        <v>45862</v>
      </c>
      <c r="B25" s="8">
        <v>982.11</v>
      </c>
      <c r="C25" s="8">
        <v>14.46</v>
      </c>
      <c r="D25" s="9">
        <v>78.61</v>
      </c>
      <c r="E25" s="9">
        <v>0</v>
      </c>
      <c r="F25" s="10">
        <f t="shared" si="3"/>
        <v>1075.18</v>
      </c>
      <c r="G25" s="9">
        <v>217.89</v>
      </c>
      <c r="H25" s="9">
        <v>591.6</v>
      </c>
      <c r="I25" s="9">
        <v>8.09</v>
      </c>
      <c r="J25" s="9">
        <v>209.56</v>
      </c>
      <c r="K25" s="9">
        <v>21.08</v>
      </c>
      <c r="L25" s="9">
        <v>27.64</v>
      </c>
      <c r="M25" s="9">
        <v>0</v>
      </c>
      <c r="N25" s="12">
        <f t="shared" si="0"/>
        <v>1075.8600000000001</v>
      </c>
      <c r="O25" s="13">
        <f t="shared" si="1"/>
        <v>-0.68000000000006366</v>
      </c>
      <c r="P25" s="9"/>
      <c r="Q25" s="14"/>
      <c r="R25" s="15"/>
      <c r="S25" s="16">
        <f t="shared" si="2"/>
        <v>-217.89</v>
      </c>
    </row>
    <row r="26" spans="1:19" x14ac:dyDescent="0.25">
      <c r="A26" s="7">
        <f>'[1]Cash Variance'!A27</f>
        <v>45863</v>
      </c>
      <c r="B26" s="8">
        <v>0</v>
      </c>
      <c r="C26" s="8">
        <v>0</v>
      </c>
      <c r="D26" s="9">
        <v>0</v>
      </c>
      <c r="E26" s="9">
        <v>0</v>
      </c>
      <c r="F26" s="10">
        <f t="shared" si="3"/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2">
        <f t="shared" si="0"/>
        <v>0</v>
      </c>
      <c r="O26" s="13">
        <f t="shared" si="1"/>
        <v>0</v>
      </c>
      <c r="P26" s="9"/>
      <c r="Q26" s="14"/>
      <c r="R26" s="15"/>
      <c r="S26" s="16">
        <f t="shared" si="2"/>
        <v>0</v>
      </c>
    </row>
    <row r="27" spans="1:19" x14ac:dyDescent="0.25">
      <c r="A27" s="7">
        <f>'[1]Cash Variance'!A28</f>
        <v>45864</v>
      </c>
      <c r="B27" s="8">
        <v>1649.22</v>
      </c>
      <c r="C27" s="8">
        <v>0</v>
      </c>
      <c r="D27" s="9">
        <v>132.04</v>
      </c>
      <c r="E27" s="9">
        <v>15.66</v>
      </c>
      <c r="F27" s="10">
        <f t="shared" si="3"/>
        <v>1796.92</v>
      </c>
      <c r="G27" s="9">
        <v>254.97</v>
      </c>
      <c r="H27" s="9">
        <f>1096.16-1.42</f>
        <v>1094.74</v>
      </c>
      <c r="I27" s="9">
        <v>29.83</v>
      </c>
      <c r="J27" s="9">
        <v>257.26</v>
      </c>
      <c r="K27" s="9">
        <v>70.61</v>
      </c>
      <c r="L27" s="9">
        <v>89.51</v>
      </c>
      <c r="M27" s="9">
        <v>0</v>
      </c>
      <c r="N27" s="12">
        <f t="shared" si="0"/>
        <v>1796.9199999999998</v>
      </c>
      <c r="O27" s="13">
        <f t="shared" si="1"/>
        <v>0</v>
      </c>
      <c r="P27" s="9"/>
      <c r="Q27" s="14"/>
      <c r="R27" s="15"/>
      <c r="S27" s="16">
        <f t="shared" si="2"/>
        <v>-254.97</v>
      </c>
    </row>
    <row r="28" spans="1:19" x14ac:dyDescent="0.25">
      <c r="A28" s="7">
        <f>'[1]Cash Variance'!A29</f>
        <v>45865</v>
      </c>
      <c r="B28" s="8">
        <v>2683.42</v>
      </c>
      <c r="C28" s="8">
        <v>16.09</v>
      </c>
      <c r="D28" s="9">
        <v>214.86</v>
      </c>
      <c r="E28" s="9">
        <v>13.25</v>
      </c>
      <c r="F28" s="10">
        <f t="shared" si="3"/>
        <v>2927.6200000000003</v>
      </c>
      <c r="G28" s="9">
        <v>352.15</v>
      </c>
      <c r="H28" s="9">
        <f>1665.74-3.87</f>
        <v>1661.8700000000001</v>
      </c>
      <c r="I28" s="9">
        <v>13.32</v>
      </c>
      <c r="J28" s="9">
        <v>735.78</v>
      </c>
      <c r="K28" s="9">
        <v>63.82</v>
      </c>
      <c r="L28" s="9">
        <v>100.68</v>
      </c>
      <c r="M28" s="9">
        <v>0</v>
      </c>
      <c r="N28" s="12">
        <f t="shared" si="0"/>
        <v>2927.62</v>
      </c>
      <c r="O28" s="13">
        <f t="shared" si="1"/>
        <v>0</v>
      </c>
      <c r="P28" s="9"/>
      <c r="Q28" s="14"/>
      <c r="R28" s="15"/>
      <c r="S28" s="16">
        <f t="shared" si="2"/>
        <v>-352.15</v>
      </c>
    </row>
    <row r="29" spans="1:19" x14ac:dyDescent="0.25">
      <c r="A29" s="7">
        <f>'[1]Cash Variance'!A30</f>
        <v>45866</v>
      </c>
      <c r="B29" s="8">
        <v>2429.58</v>
      </c>
      <c r="C29" s="8">
        <v>9.02</v>
      </c>
      <c r="D29" s="9">
        <v>194.51</v>
      </c>
      <c r="E29" s="9">
        <v>16.239999999999998</v>
      </c>
      <c r="F29" s="10">
        <f t="shared" si="3"/>
        <v>2649.3499999999995</v>
      </c>
      <c r="G29" s="9">
        <v>552.64</v>
      </c>
      <c r="H29" s="9">
        <v>1277.6600000000001</v>
      </c>
      <c r="I29" s="9">
        <v>31.28</v>
      </c>
      <c r="J29" s="9">
        <v>620.09</v>
      </c>
      <c r="K29" s="9">
        <v>75.430000000000007</v>
      </c>
      <c r="L29" s="9">
        <v>92.59</v>
      </c>
      <c r="M29" s="9">
        <v>0</v>
      </c>
      <c r="N29" s="12">
        <f t="shared" si="0"/>
        <v>2649.69</v>
      </c>
      <c r="O29" s="13">
        <f t="shared" si="1"/>
        <v>-0.34000000000060027</v>
      </c>
      <c r="P29" s="19"/>
      <c r="Q29" s="14"/>
      <c r="R29" s="15"/>
      <c r="S29" s="16">
        <f t="shared" si="2"/>
        <v>-552.64</v>
      </c>
    </row>
    <row r="30" spans="1:19" x14ac:dyDescent="0.25">
      <c r="A30" s="7">
        <f>'[1]Cash Variance'!A31</f>
        <v>45867</v>
      </c>
      <c r="B30" s="8">
        <v>3100.82</v>
      </c>
      <c r="C30" s="8">
        <v>25.08</v>
      </c>
      <c r="D30" s="9">
        <v>248.2</v>
      </c>
      <c r="E30" s="9">
        <v>35.83</v>
      </c>
      <c r="F30" s="10">
        <f t="shared" si="3"/>
        <v>3409.93</v>
      </c>
      <c r="G30" s="9">
        <v>429.32</v>
      </c>
      <c r="H30" s="9">
        <v>1560.9</v>
      </c>
      <c r="I30" s="9">
        <v>139.28</v>
      </c>
      <c r="J30" s="9">
        <v>1007.01</v>
      </c>
      <c r="K30" s="9">
        <v>60.14</v>
      </c>
      <c r="L30" s="9">
        <v>214.35</v>
      </c>
      <c r="M30" s="9">
        <v>0</v>
      </c>
      <c r="N30" s="12">
        <f t="shared" si="0"/>
        <v>3411</v>
      </c>
      <c r="O30" s="13">
        <f t="shared" si="1"/>
        <v>-1.0700000000001637</v>
      </c>
      <c r="P30" s="20"/>
      <c r="Q30" s="14"/>
      <c r="R30" s="15"/>
      <c r="S30" s="16">
        <f t="shared" si="2"/>
        <v>-429.32</v>
      </c>
    </row>
    <row r="31" spans="1:19" x14ac:dyDescent="0.25">
      <c r="A31" s="7">
        <f>'[1]Cash Variance'!A32</f>
        <v>45868</v>
      </c>
      <c r="B31" s="8">
        <v>3569.03</v>
      </c>
      <c r="C31" s="8">
        <v>24.13</v>
      </c>
      <c r="D31" s="9">
        <v>285.68</v>
      </c>
      <c r="E31" s="9">
        <v>43.41</v>
      </c>
      <c r="F31" s="10">
        <f t="shared" si="3"/>
        <v>3922.25</v>
      </c>
      <c r="G31" s="9">
        <v>266.58999999999997</v>
      </c>
      <c r="H31" s="9">
        <f>2078.82-5.77</f>
        <v>2073.0500000000002</v>
      </c>
      <c r="I31" s="9">
        <v>0</v>
      </c>
      <c r="J31" s="9">
        <v>1256.5999999999999</v>
      </c>
      <c r="K31" s="9">
        <v>99.81</v>
      </c>
      <c r="L31" s="9">
        <v>226.2</v>
      </c>
      <c r="M31" s="9">
        <v>0</v>
      </c>
      <c r="N31" s="12">
        <f t="shared" si="0"/>
        <v>3922.25</v>
      </c>
      <c r="O31" s="13">
        <f t="shared" si="1"/>
        <v>0</v>
      </c>
      <c r="P31" s="9"/>
      <c r="Q31" s="14"/>
      <c r="R31" s="15"/>
      <c r="S31" s="16">
        <f t="shared" si="2"/>
        <v>-266.58999999999997</v>
      </c>
    </row>
    <row r="32" spans="1:19" ht="15.75" thickBot="1" x14ac:dyDescent="0.3">
      <c r="A32" s="7">
        <f>'[1]Cash Variance'!A33</f>
        <v>45869</v>
      </c>
      <c r="B32" s="8">
        <v>3970.24</v>
      </c>
      <c r="C32" s="8">
        <v>4.33</v>
      </c>
      <c r="D32" s="9">
        <v>317.79000000000002</v>
      </c>
      <c r="E32" s="9">
        <v>19.87</v>
      </c>
      <c r="F32" s="10">
        <f t="shared" si="3"/>
        <v>4312.2299999999996</v>
      </c>
      <c r="G32" s="9">
        <v>361.34</v>
      </c>
      <c r="H32" s="9">
        <f>2243.65-10.93</f>
        <v>2232.7200000000003</v>
      </c>
      <c r="I32" s="9">
        <v>23.19</v>
      </c>
      <c r="J32" s="9">
        <v>1472.54</v>
      </c>
      <c r="K32" s="9">
        <v>48.36</v>
      </c>
      <c r="L32" s="9">
        <v>174.08</v>
      </c>
      <c r="M32" s="9">
        <v>0</v>
      </c>
      <c r="N32" s="12">
        <f t="shared" si="0"/>
        <v>4312.2300000000005</v>
      </c>
      <c r="O32" s="13">
        <f t="shared" si="1"/>
        <v>0</v>
      </c>
      <c r="P32" s="9"/>
      <c r="Q32" s="14"/>
      <c r="R32" s="15"/>
      <c r="S32" s="16">
        <f t="shared" si="2"/>
        <v>-361.34</v>
      </c>
    </row>
    <row r="33" spans="1:19" ht="15.75" thickBot="1" x14ac:dyDescent="0.3">
      <c r="A33" s="21" t="s">
        <v>8</v>
      </c>
      <c r="B33" s="22">
        <f t="shared" ref="B33:M33" si="4">SUM(B2:B32)</f>
        <v>77945.58</v>
      </c>
      <c r="C33" s="22">
        <f t="shared" si="4"/>
        <v>477.73999999999984</v>
      </c>
      <c r="D33" s="22">
        <f>SUM(D2:D32)</f>
        <v>6240.1899999999987</v>
      </c>
      <c r="E33" s="22">
        <f>SUM(E2:E32)</f>
        <v>548.48</v>
      </c>
      <c r="F33" s="23">
        <f>SUM(F2:F32)</f>
        <v>85211.989999999991</v>
      </c>
      <c r="G33" s="22">
        <f>SUM(G2:G32)</f>
        <v>14374.719999999998</v>
      </c>
      <c r="H33" s="22">
        <f>SUM(H2:H32)</f>
        <v>46184.460000000006</v>
      </c>
      <c r="I33" s="22">
        <f t="shared" si="4"/>
        <v>832.1400000000001</v>
      </c>
      <c r="J33" s="22">
        <f t="shared" si="4"/>
        <v>17814.52</v>
      </c>
      <c r="K33" s="22">
        <f t="shared" si="4"/>
        <v>1332.4700000000003</v>
      </c>
      <c r="L33" s="22">
        <f t="shared" si="4"/>
        <v>4650.7700000000004</v>
      </c>
      <c r="M33" s="22">
        <f t="shared" si="4"/>
        <v>28.09</v>
      </c>
      <c r="N33" s="23">
        <f>SUM(N2:N32)</f>
        <v>85217.17</v>
      </c>
      <c r="O33" s="23">
        <f t="shared" ref="O33:R33" si="5">SUM(O2:O32)</f>
        <v>-5.1800000000009732</v>
      </c>
      <c r="P33" s="22">
        <f>SUM(P2:P32)</f>
        <v>8793.17</v>
      </c>
      <c r="Q33" s="22"/>
      <c r="R33" s="22">
        <f t="shared" si="5"/>
        <v>0</v>
      </c>
      <c r="S33" s="23">
        <f>SUM(S2:S32)</f>
        <v>-5581.55</v>
      </c>
    </row>
    <row r="34" spans="1:19" x14ac:dyDescent="0.25">
      <c r="A34" s="24" t="s">
        <v>0</v>
      </c>
      <c r="B34" s="25">
        <f>+B33</f>
        <v>77945.58</v>
      </c>
      <c r="C34" s="25">
        <f>+C33</f>
        <v>477.73999999999984</v>
      </c>
      <c r="D34" s="25">
        <f>+D33</f>
        <v>6240.1899999999987</v>
      </c>
      <c r="E34" s="25">
        <f>+E33</f>
        <v>548.48</v>
      </c>
      <c r="F34" s="24"/>
      <c r="G34" s="25">
        <f>+G33</f>
        <v>14374.719999999998</v>
      </c>
      <c r="H34" s="24"/>
      <c r="I34" s="24"/>
      <c r="J34" s="25">
        <f>+J33</f>
        <v>17814.52</v>
      </c>
      <c r="K34" s="25">
        <f>+K33</f>
        <v>1332.4700000000003</v>
      </c>
      <c r="L34" s="25">
        <f>+L33</f>
        <v>4650.7700000000004</v>
      </c>
      <c r="M34" s="25">
        <f>+M33</f>
        <v>28.09</v>
      </c>
      <c r="N34" s="24"/>
      <c r="O34" s="24"/>
      <c r="Q34" s="26"/>
    </row>
    <row r="35" spans="1:19" x14ac:dyDescent="0.25">
      <c r="A35" s="27" t="s">
        <v>9</v>
      </c>
      <c r="B35" s="28">
        <f>+B33</f>
        <v>77945.58</v>
      </c>
      <c r="C35" s="28">
        <f>+C33</f>
        <v>477.73999999999984</v>
      </c>
      <c r="D35" s="28">
        <f>+D33</f>
        <v>6240.1899999999987</v>
      </c>
      <c r="E35" s="28">
        <f>+E33</f>
        <v>548.48</v>
      </c>
      <c r="F35" s="27"/>
      <c r="G35" s="28">
        <f>+G33</f>
        <v>14374.719999999998</v>
      </c>
      <c r="H35" s="27"/>
      <c r="I35" s="27"/>
      <c r="J35" s="28">
        <f>+J33</f>
        <v>17814.52</v>
      </c>
      <c r="K35" s="28">
        <f>+K33</f>
        <v>1332.4700000000003</v>
      </c>
      <c r="L35" s="28">
        <f>+L33</f>
        <v>4650.7700000000004</v>
      </c>
      <c r="M35" s="28">
        <f>+M33</f>
        <v>28.09</v>
      </c>
      <c r="N35" s="27"/>
      <c r="O35" s="27"/>
      <c r="Q35" s="26"/>
      <c r="R35" s="29"/>
    </row>
    <row r="36" spans="1:19" x14ac:dyDescent="0.25">
      <c r="A36" s="27"/>
      <c r="B36" s="27"/>
      <c r="C36" s="27"/>
      <c r="D36" s="27"/>
      <c r="E36" s="27"/>
      <c r="F36" s="27"/>
      <c r="G36" s="27"/>
      <c r="H36" s="36" t="s">
        <v>10</v>
      </c>
      <c r="I36" s="36"/>
      <c r="J36" s="31">
        <v>20523.650000000001</v>
      </c>
      <c r="K36" s="30">
        <f>1463.45-144.92</f>
        <v>1318.53</v>
      </c>
      <c r="L36" s="30">
        <f>5757.63+331.13</f>
        <v>6088.76</v>
      </c>
      <c r="M36" s="27"/>
      <c r="N36" s="27"/>
      <c r="O36" s="27"/>
    </row>
    <row r="37" spans="1:19" x14ac:dyDescent="0.25">
      <c r="A37" s="27"/>
      <c r="B37" s="27"/>
      <c r="C37" s="27"/>
      <c r="D37" s="27"/>
      <c r="E37" s="27"/>
      <c r="F37" s="27"/>
      <c r="G37" s="27"/>
      <c r="H37" s="36" t="s">
        <v>11</v>
      </c>
      <c r="I37" s="36"/>
      <c r="J37" s="32">
        <f>+J36-J33</f>
        <v>2709.130000000001</v>
      </c>
      <c r="K37" s="33">
        <f>+K36-K33</f>
        <v>-13.940000000000282</v>
      </c>
      <c r="L37" s="33">
        <f>+L36-L33</f>
        <v>1437.9899999999998</v>
      </c>
      <c r="M37" s="27"/>
      <c r="N37" s="27"/>
      <c r="O37" s="27"/>
    </row>
    <row r="38" spans="1:19" x14ac:dyDescent="0.25">
      <c r="A38" s="27"/>
      <c r="B38" s="27"/>
      <c r="C38" s="27"/>
      <c r="D38" s="27"/>
      <c r="E38" s="27"/>
      <c r="F38" s="27"/>
      <c r="G38" s="27"/>
      <c r="H38" s="36" t="s">
        <v>12</v>
      </c>
      <c r="I38" s="36"/>
      <c r="J38" s="31">
        <v>-3318.8</v>
      </c>
      <c r="K38" s="30">
        <v>-126.2</v>
      </c>
      <c r="L38" s="30">
        <f>-906.9+358.9</f>
        <v>-548</v>
      </c>
      <c r="M38" s="27"/>
      <c r="N38" s="27"/>
      <c r="O38" s="27"/>
      <c r="P38" s="27"/>
      <c r="Q38" s="27"/>
      <c r="R38" s="27"/>
      <c r="S38" s="27"/>
    </row>
    <row r="39" spans="1:19" x14ac:dyDescent="0.25">
      <c r="A39" s="27"/>
      <c r="B39" s="27"/>
      <c r="C39" s="27"/>
      <c r="D39" s="27"/>
      <c r="E39" s="27"/>
      <c r="F39" s="27"/>
      <c r="G39" s="27"/>
      <c r="H39" s="36" t="s">
        <v>13</v>
      </c>
      <c r="I39" s="36"/>
      <c r="J39" s="31">
        <v>-3655.59</v>
      </c>
      <c r="K39" s="30">
        <f>-113.97-59.47</f>
        <v>-173.44</v>
      </c>
      <c r="L39" s="30">
        <v>-1348.91</v>
      </c>
      <c r="M39" s="27"/>
      <c r="N39" s="27"/>
      <c r="O39" s="27"/>
      <c r="P39" s="27"/>
      <c r="Q39" s="27"/>
      <c r="R39" s="27"/>
      <c r="S39" s="27"/>
    </row>
    <row r="40" spans="1:19" x14ac:dyDescent="0.25">
      <c r="A40" s="27"/>
      <c r="B40" s="27"/>
      <c r="C40" s="27"/>
      <c r="D40" s="27"/>
      <c r="E40" s="27"/>
      <c r="F40" s="27"/>
      <c r="G40" s="27"/>
      <c r="H40" s="36" t="s">
        <v>14</v>
      </c>
      <c r="I40" s="36"/>
      <c r="J40" s="31">
        <v>-591.11</v>
      </c>
      <c r="K40" s="30">
        <v>-39.76</v>
      </c>
      <c r="L40" s="30">
        <v>-42.58</v>
      </c>
      <c r="M40" s="27"/>
      <c r="N40" s="27"/>
      <c r="O40" s="27"/>
      <c r="P40" s="27"/>
      <c r="Q40" s="27"/>
      <c r="R40" s="27"/>
      <c r="S40" s="27"/>
    </row>
    <row r="41" spans="1:19" ht="15.75" thickBot="1" x14ac:dyDescent="0.3">
      <c r="A41" s="27"/>
      <c r="B41" s="27"/>
      <c r="C41" s="27"/>
      <c r="D41" s="27"/>
      <c r="E41" s="27"/>
      <c r="F41" s="27"/>
      <c r="G41" s="27"/>
      <c r="H41" s="37" t="s">
        <v>15</v>
      </c>
      <c r="I41" s="37"/>
      <c r="J41" s="34">
        <f>+J36+J38+J39+J40</f>
        <v>12958.150000000001</v>
      </c>
      <c r="K41" s="35">
        <f>+K36+K38+K39+K40</f>
        <v>979.12999999999988</v>
      </c>
      <c r="L41" s="35">
        <f>+L36+L38+L39+L40</f>
        <v>4149.2700000000004</v>
      </c>
      <c r="M41" s="27"/>
      <c r="N41" s="27"/>
      <c r="O41" s="27"/>
      <c r="P41" s="27"/>
      <c r="Q41" s="27"/>
      <c r="R41" s="27"/>
      <c r="S41" s="27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2025-08-21T05:39:24Z</dcterms:created>
  <dcterms:modified xsi:type="dcterms:W3CDTF">2025-10-07T06:30:15Z</dcterms:modified>
</cp:coreProperties>
</file>