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8EB7755-4D3E-4232-BCA3-1EB3E0D49EB2}" xr6:coauthVersionLast="47" xr6:coauthVersionMax="47" xr10:uidLastSave="{00000000-0000-0000-0000-000000000000}"/>
  <bookViews>
    <workbookView xWindow="-120" yWindow="-120" windowWidth="20730" windowHeight="11040" xr2:uid="{45436EBF-CE82-4182-AC16-41A2277147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J33" i="1"/>
  <c r="J34" i="1" s="1"/>
  <c r="G33" i="1"/>
  <c r="G34" i="1" s="1"/>
  <c r="D33" i="1"/>
  <c r="C33" i="1"/>
  <c r="C35" i="1" s="1"/>
  <c r="H2" i="1"/>
  <c r="H33" i="1" s="1"/>
  <c r="F2" i="1"/>
  <c r="A2" i="1"/>
  <c r="L41" i="1"/>
  <c r="J41" i="1"/>
  <c r="K39" i="1"/>
  <c r="L38" i="1"/>
  <c r="L37" i="1"/>
  <c r="J37" i="1"/>
  <c r="K36" i="1"/>
  <c r="K41" i="1" s="1"/>
  <c r="L35" i="1"/>
  <c r="D35" i="1"/>
  <c r="D34" i="1"/>
  <c r="R33" i="1"/>
  <c r="M33" i="1"/>
  <c r="M35" i="1" s="1"/>
  <c r="L34" i="1"/>
  <c r="K33" i="1"/>
  <c r="K35" i="1" s="1"/>
  <c r="I33" i="1"/>
  <c r="E33" i="1"/>
  <c r="E34" i="1" s="1"/>
  <c r="B33" i="1"/>
  <c r="B35" i="1" s="1"/>
  <c r="S32" i="1"/>
  <c r="H32" i="1"/>
  <c r="N32" i="1" s="1"/>
  <c r="F32" i="1"/>
  <c r="O32" i="1" s="1"/>
  <c r="A32" i="1"/>
  <c r="S31" i="1"/>
  <c r="H31" i="1"/>
  <c r="N31" i="1" s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F16" i="1"/>
  <c r="A16" i="1"/>
  <c r="S15" i="1"/>
  <c r="H15" i="1"/>
  <c r="N15" i="1" s="1"/>
  <c r="O15" i="1" s="1"/>
  <c r="F15" i="1"/>
  <c r="A15" i="1"/>
  <c r="S14" i="1"/>
  <c r="H14" i="1"/>
  <c r="N14" i="1" s="1"/>
  <c r="F14" i="1"/>
  <c r="A14" i="1"/>
  <c r="S13" i="1"/>
  <c r="H13" i="1"/>
  <c r="N13" i="1" s="1"/>
  <c r="F13" i="1"/>
  <c r="A13" i="1"/>
  <c r="S12" i="1"/>
  <c r="N12" i="1"/>
  <c r="H12" i="1"/>
  <c r="F12" i="1"/>
  <c r="O12" i="1" s="1"/>
  <c r="A12" i="1"/>
  <c r="S11" i="1"/>
  <c r="H11" i="1"/>
  <c r="N11" i="1" s="1"/>
  <c r="O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N7" i="1"/>
  <c r="F7" i="1"/>
  <c r="O7" i="1" s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O4" i="1" s="1"/>
  <c r="F4" i="1"/>
  <c r="A4" i="1"/>
  <c r="S3" i="1"/>
  <c r="H3" i="1"/>
  <c r="N3" i="1" s="1"/>
  <c r="F3" i="1"/>
  <c r="A3" i="1"/>
  <c r="S2" i="1"/>
  <c r="N2" i="1"/>
  <c r="A1" i="1"/>
  <c r="N33" i="1" l="1"/>
  <c r="B34" i="1"/>
  <c r="O5" i="1"/>
  <c r="O16" i="1"/>
  <c r="O29" i="1"/>
  <c r="O31" i="1"/>
  <c r="C34" i="1"/>
  <c r="O13" i="1"/>
  <c r="O33" i="1" s="1"/>
  <c r="O22" i="1"/>
  <c r="O24" i="1"/>
  <c r="O26" i="1"/>
  <c r="O2" i="1"/>
  <c r="O8" i="1"/>
  <c r="O30" i="1"/>
  <c r="J35" i="1"/>
  <c r="S33" i="1"/>
  <c r="F33" i="1"/>
  <c r="O9" i="1"/>
  <c r="O18" i="1"/>
  <c r="O6" i="1"/>
  <c r="O10" i="1"/>
  <c r="O17" i="1"/>
  <c r="O14" i="1"/>
  <c r="K34" i="1"/>
  <c r="E35" i="1"/>
  <c r="O3" i="1"/>
  <c r="G35" i="1"/>
  <c r="M34" i="1"/>
  <c r="K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tc={517F6958-C0A0-4420-8066-FAEEF7CED444}</author>
    <author>tc={2248B17B-5BF5-4354-9523-0E63E55AF0E4}</author>
    <author>tc={5EFE4299-B7A4-4AD7-87F7-1D3345DF8955}</author>
  </authors>
  <commentList>
    <comment ref="R10" authorId="0" shapeId="0" xr:uid="{4E9CCEA1-1FEB-4C3E-AB3C-5A8015991F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Boxes purchased as per bernard mail</t>
        </r>
      </text>
    </comment>
    <comment ref="R16" authorId="1" shapeId="0" xr:uid="{94F99332-BFB0-4B27-A982-C5543B1F30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Chese</t>
        </r>
      </text>
    </comment>
    <comment ref="R31" authorId="2" shapeId="0" xr:uid="{0E5A6E60-C081-411C-BD11-C9A0178824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My manager had to go buy a adapter from Amazon for the server and we had to buy a new phone and we pay for the window cleaning guy so I'm depositing 395 for the 30th supposed to be 460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<sst xmlns="http://schemas.openxmlformats.org/spreadsheetml/2006/main" count="27" uniqueCount="27">
  <si>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</si>
  <si>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</si>
  <si>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</si>
  <si>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</si>
  <si>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</si>
  <si>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</si>
  <si>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</si>
  <si>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</si>
  <si>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</si>
  <si>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</si>
  <si>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</si>
  <si>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</si>
  <si>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</si>
  <si>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</si>
  <si>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</si>
  <si>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</si>
  <si>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</si>
  <si>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</si>
  <si>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</si>
  <si>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</si>
  <si>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</si>
  <si>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</si>
  <si>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</si>
  <si>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</si>
  <si>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</si>
  <si>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</si>
  <si>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DepositedCashTDBank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</si>
</sst>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7" xfId="0" applyNumberFormat="1" applyFont="1" applyBorder="1"/>
    <xf numFmtId="165" fontId="4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65" fontId="4" fillId="3" borderId="12" xfId="0" applyNumberFormat="1" applyFont="1" applyFill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165" fontId="5" fillId="2" borderId="14" xfId="0" applyNumberFormat="1" applyFont="1" applyFill="1" applyBorder="1" applyAlignment="1">
      <alignment horizontal="right"/>
    </xf>
    <xf numFmtId="165" fontId="5" fillId="3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02D-7E74-411B-A3A9-53674A902EB1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5703125" customWidth="1"/>
    <col min="16" max="16" width="10.85546875" bestFit="1" customWidth="1"/>
    <col min="17" max="17" width="10.42578125" bestFit="1" customWidth="1"/>
    <col min="18" max="18" width="12.140625" customWidth="1"/>
  </cols>
  <sheetData>
    <row r="1" spans="1:19" ht="48" thickBot="1" x14ac:dyDescent="0.3">
      <c r="A1" s="1">
        <f>'[1]Cash Variance'!A2</f>
        <v>45839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3" t="s">
        <v>25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8</v>
      </c>
    </row>
    <row r="2" spans="1:19" x14ac:dyDescent="0.25">
      <c r="A2" s="7">
        <f>'[1]Cash Variance'!A3</f>
        <v>45839</v>
      </c>
      <c r="B2" s="8">
        <v>1289.03</v>
      </c>
      <c r="C2" s="8">
        <v>634.14</v>
      </c>
      <c r="D2" s="9">
        <v>103.27</v>
      </c>
      <c r="E2" s="9">
        <v>18.62</v>
      </c>
      <c r="F2" s="10">
        <f>SUM(B2:E2)</f>
        <v>2045.06</v>
      </c>
      <c r="G2" s="9">
        <v>394.38</v>
      </c>
      <c r="H2" s="9">
        <f>1019.04-13.87</f>
        <v>1005.17</v>
      </c>
      <c r="I2" s="9">
        <v>0</v>
      </c>
      <c r="J2" s="9">
        <v>498.6</v>
      </c>
      <c r="K2" s="9">
        <v>0</v>
      </c>
      <c r="L2" s="9">
        <v>146.91</v>
      </c>
      <c r="M2" s="9">
        <v>0</v>
      </c>
      <c r="N2" s="11">
        <f t="shared" ref="N2:N32" si="0">SUM(G2:M2)</f>
        <v>2045.0600000000002</v>
      </c>
      <c r="O2" s="11">
        <f t="shared" ref="O2:O32" si="1">+F2-N2</f>
        <v>0</v>
      </c>
      <c r="P2" s="12">
        <v>385</v>
      </c>
      <c r="Q2" s="13">
        <v>45841</v>
      </c>
      <c r="R2" s="14"/>
      <c r="S2" s="15">
        <f t="shared" ref="S2:S33" si="2">P2-G2-R2</f>
        <v>-9.3799999999999955</v>
      </c>
    </row>
    <row r="3" spans="1:19" x14ac:dyDescent="0.25">
      <c r="A3" s="7">
        <f>'[1]Cash Variance'!A4</f>
        <v>45840</v>
      </c>
      <c r="B3" s="8">
        <v>1793.37</v>
      </c>
      <c r="C3" s="8">
        <v>394.62</v>
      </c>
      <c r="D3" s="9">
        <v>143.69999999999999</v>
      </c>
      <c r="E3" s="9">
        <v>13.65</v>
      </c>
      <c r="F3" s="10">
        <f t="shared" ref="F3:F31" si="3">SUM(B3:E3)</f>
        <v>2345.3399999999997</v>
      </c>
      <c r="G3" s="9">
        <v>483.84</v>
      </c>
      <c r="H3" s="9">
        <f>1447.09-2.49</f>
        <v>1444.6</v>
      </c>
      <c r="I3" s="9">
        <v>32.909999999999997</v>
      </c>
      <c r="J3" s="9">
        <v>326.24</v>
      </c>
      <c r="K3" s="9">
        <v>9.3699999999999992</v>
      </c>
      <c r="L3" s="9">
        <v>48.38</v>
      </c>
      <c r="M3" s="9">
        <v>0</v>
      </c>
      <c r="N3" s="11">
        <f t="shared" si="0"/>
        <v>2345.34</v>
      </c>
      <c r="O3" s="11">
        <f t="shared" si="1"/>
        <v>0</v>
      </c>
      <c r="P3" s="12">
        <v>480</v>
      </c>
      <c r="Q3" s="13">
        <v>45848</v>
      </c>
      <c r="R3" s="14"/>
      <c r="S3" s="15">
        <f t="shared" si="2"/>
        <v>-3.839999999999975</v>
      </c>
    </row>
    <row r="4" spans="1:19" x14ac:dyDescent="0.25">
      <c r="A4" s="7">
        <f>'[1]Cash Variance'!A5</f>
        <v>45841</v>
      </c>
      <c r="B4" s="8">
        <v>1977.7</v>
      </c>
      <c r="C4" s="8">
        <v>213.87</v>
      </c>
      <c r="D4" s="9">
        <v>158.41</v>
      </c>
      <c r="E4" s="9">
        <v>9.43</v>
      </c>
      <c r="F4" s="10">
        <f t="shared" si="3"/>
        <v>2359.41</v>
      </c>
      <c r="G4" s="9">
        <v>528.82000000000005</v>
      </c>
      <c r="H4" s="9">
        <f>1630.7-2.5</f>
        <v>1628.2</v>
      </c>
      <c r="I4" s="9">
        <v>0</v>
      </c>
      <c r="J4" s="9">
        <v>110.32</v>
      </c>
      <c r="K4" s="9">
        <v>49.96</v>
      </c>
      <c r="L4" s="9">
        <v>42.11</v>
      </c>
      <c r="M4" s="9">
        <v>0</v>
      </c>
      <c r="N4" s="11">
        <f t="shared" si="0"/>
        <v>2359.4100000000003</v>
      </c>
      <c r="O4" s="11">
        <f t="shared" si="1"/>
        <v>0</v>
      </c>
      <c r="P4" s="12">
        <v>525</v>
      </c>
      <c r="Q4" s="13">
        <v>45848</v>
      </c>
      <c r="R4" s="14"/>
      <c r="S4" s="15">
        <f t="shared" si="2"/>
        <v>-3.82000000000005</v>
      </c>
    </row>
    <row r="5" spans="1:19" x14ac:dyDescent="0.25">
      <c r="A5" s="7">
        <f>'[1]Cash Variance'!A6</f>
        <v>45842</v>
      </c>
      <c r="B5" s="8">
        <v>723.56</v>
      </c>
      <c r="C5" s="8">
        <v>214.29</v>
      </c>
      <c r="D5" s="9">
        <v>58</v>
      </c>
      <c r="E5" s="9">
        <v>0</v>
      </c>
      <c r="F5" s="10">
        <f t="shared" si="3"/>
        <v>995.84999999999991</v>
      </c>
      <c r="G5" s="9">
        <v>250.38</v>
      </c>
      <c r="H5" s="9">
        <f>531.18-2</f>
        <v>529.17999999999995</v>
      </c>
      <c r="I5" s="9">
        <v>0</v>
      </c>
      <c r="J5" s="9">
        <v>149.97999999999999</v>
      </c>
      <c r="K5" s="9">
        <v>18.07</v>
      </c>
      <c r="L5" s="9">
        <v>48.24</v>
      </c>
      <c r="M5" s="9">
        <v>0</v>
      </c>
      <c r="N5" s="11">
        <f t="shared" si="0"/>
        <v>995.85</v>
      </c>
      <c r="O5" s="11">
        <f t="shared" si="1"/>
        <v>0</v>
      </c>
      <c r="P5" s="9">
        <v>250</v>
      </c>
      <c r="Q5" s="13">
        <v>45848</v>
      </c>
      <c r="R5" s="14"/>
      <c r="S5" s="15">
        <f t="shared" si="2"/>
        <v>-0.37999999999999545</v>
      </c>
    </row>
    <row r="6" spans="1:19" x14ac:dyDescent="0.25">
      <c r="A6" s="7">
        <f>'[1]Cash Variance'!A7</f>
        <v>45843</v>
      </c>
      <c r="B6" s="8">
        <v>1571.96</v>
      </c>
      <c r="C6" s="8">
        <v>353.88</v>
      </c>
      <c r="D6" s="9">
        <v>125.96</v>
      </c>
      <c r="E6" s="9">
        <v>6.31</v>
      </c>
      <c r="F6" s="10">
        <f t="shared" si="3"/>
        <v>2058.11</v>
      </c>
      <c r="G6" s="9">
        <v>457.02</v>
      </c>
      <c r="H6" s="9">
        <f>1251.7-5.19</f>
        <v>1246.51</v>
      </c>
      <c r="I6" s="9">
        <v>0</v>
      </c>
      <c r="J6" s="9">
        <v>205.3</v>
      </c>
      <c r="K6" s="9">
        <v>42.96</v>
      </c>
      <c r="L6" s="9">
        <v>106.32</v>
      </c>
      <c r="M6" s="9">
        <v>0</v>
      </c>
      <c r="N6" s="11">
        <f t="shared" si="0"/>
        <v>2058.11</v>
      </c>
      <c r="O6" s="11">
        <f t="shared" si="1"/>
        <v>0</v>
      </c>
      <c r="P6" s="9">
        <v>455</v>
      </c>
      <c r="Q6" s="13">
        <v>45848</v>
      </c>
      <c r="R6" s="14"/>
      <c r="S6" s="15">
        <f t="shared" si="2"/>
        <v>-2.0199999999999818</v>
      </c>
    </row>
    <row r="7" spans="1:19" x14ac:dyDescent="0.25">
      <c r="A7" s="7">
        <f>'[1]Cash Variance'!A8</f>
        <v>45844</v>
      </c>
      <c r="B7" s="8">
        <v>831.35</v>
      </c>
      <c r="C7" s="8">
        <v>54.86</v>
      </c>
      <c r="D7" s="9">
        <v>66.62</v>
      </c>
      <c r="E7" s="9">
        <v>0</v>
      </c>
      <c r="F7" s="10">
        <f t="shared" si="3"/>
        <v>952.83</v>
      </c>
      <c r="G7" s="9">
        <v>311.99</v>
      </c>
      <c r="H7" s="9">
        <v>576.62</v>
      </c>
      <c r="I7" s="9">
        <v>11.86</v>
      </c>
      <c r="J7" s="9">
        <v>14.46</v>
      </c>
      <c r="K7" s="9">
        <v>0</v>
      </c>
      <c r="L7" s="9">
        <v>39.090000000000003</v>
      </c>
      <c r="M7" s="9">
        <v>0</v>
      </c>
      <c r="N7" s="11">
        <f t="shared" si="0"/>
        <v>954.0200000000001</v>
      </c>
      <c r="O7" s="11">
        <f t="shared" si="1"/>
        <v>-1.1900000000000546</v>
      </c>
      <c r="P7" s="9">
        <v>310</v>
      </c>
      <c r="Q7" s="13">
        <v>45848</v>
      </c>
      <c r="R7" s="14"/>
      <c r="S7" s="15">
        <f t="shared" si="2"/>
        <v>-1.9900000000000091</v>
      </c>
    </row>
    <row r="8" spans="1:19" x14ac:dyDescent="0.25">
      <c r="A8" s="7">
        <f>'[1]Cash Variance'!A9</f>
        <v>45845</v>
      </c>
      <c r="B8" s="8">
        <v>1163.6199999999999</v>
      </c>
      <c r="C8" s="8">
        <v>175.38</v>
      </c>
      <c r="D8" s="16">
        <v>93.22</v>
      </c>
      <c r="E8" s="9">
        <v>4.2699999999999996</v>
      </c>
      <c r="F8" s="10">
        <f>SUM(B8:E8)</f>
        <v>1436.49</v>
      </c>
      <c r="G8" s="9">
        <v>329.91</v>
      </c>
      <c r="H8" s="9">
        <v>927.75</v>
      </c>
      <c r="I8" s="9">
        <v>8.09</v>
      </c>
      <c r="J8" s="9">
        <v>154.21</v>
      </c>
      <c r="K8" s="9">
        <v>0</v>
      </c>
      <c r="L8" s="9">
        <v>12.19</v>
      </c>
      <c r="M8" s="9">
        <v>4.3099999999999996</v>
      </c>
      <c r="N8" s="11">
        <f t="shared" si="0"/>
        <v>1436.46</v>
      </c>
      <c r="O8" s="11">
        <f t="shared" si="1"/>
        <v>2.9999999999972715E-2</v>
      </c>
      <c r="P8" s="9">
        <v>330</v>
      </c>
      <c r="Q8" s="13">
        <v>45848</v>
      </c>
      <c r="R8" s="14"/>
      <c r="S8" s="15">
        <f t="shared" si="2"/>
        <v>8.9999999999974989E-2</v>
      </c>
    </row>
    <row r="9" spans="1:19" x14ac:dyDescent="0.25">
      <c r="A9" s="7">
        <f>'[1]Cash Variance'!A10</f>
        <v>45846</v>
      </c>
      <c r="B9" s="8">
        <v>1210.92</v>
      </c>
      <c r="C9" s="8">
        <v>306.23</v>
      </c>
      <c r="D9" s="17">
        <v>97.07</v>
      </c>
      <c r="E9" s="9">
        <v>5</v>
      </c>
      <c r="F9" s="10">
        <f t="shared" si="3"/>
        <v>1619.22</v>
      </c>
      <c r="G9" s="9">
        <v>474.7</v>
      </c>
      <c r="H9" s="9">
        <f>821.57-4.99</f>
        <v>816.58</v>
      </c>
      <c r="I9" s="9">
        <v>16.71</v>
      </c>
      <c r="J9" s="9">
        <v>182.17</v>
      </c>
      <c r="K9" s="9">
        <v>10.15</v>
      </c>
      <c r="L9" s="9">
        <v>118.91</v>
      </c>
      <c r="M9" s="9">
        <v>0</v>
      </c>
      <c r="N9" s="11">
        <f t="shared" si="0"/>
        <v>1619.2200000000003</v>
      </c>
      <c r="O9" s="11">
        <f t="shared" si="1"/>
        <v>0</v>
      </c>
      <c r="P9" s="9">
        <v>475</v>
      </c>
      <c r="Q9" s="13">
        <v>45848</v>
      </c>
      <c r="R9" s="14"/>
      <c r="S9" s="15">
        <f t="shared" si="2"/>
        <v>0.30000000000001137</v>
      </c>
    </row>
    <row r="10" spans="1:19" x14ac:dyDescent="0.25">
      <c r="A10" s="7">
        <f>'[1]Cash Variance'!A11</f>
        <v>45847</v>
      </c>
      <c r="B10" s="8">
        <v>1270.69</v>
      </c>
      <c r="C10" s="8">
        <v>386.65</v>
      </c>
      <c r="D10" s="17">
        <v>101.81</v>
      </c>
      <c r="E10" s="9">
        <v>11.32</v>
      </c>
      <c r="F10" s="10">
        <f t="shared" si="3"/>
        <v>1770.47</v>
      </c>
      <c r="G10" s="9">
        <v>329.91</v>
      </c>
      <c r="H10" s="9">
        <f>1058.39-4.99</f>
        <v>1053.4000000000001</v>
      </c>
      <c r="I10" s="9">
        <v>0</v>
      </c>
      <c r="J10" s="9">
        <v>263.02</v>
      </c>
      <c r="K10" s="9">
        <v>0</v>
      </c>
      <c r="L10" s="9">
        <v>124.14</v>
      </c>
      <c r="M10" s="9">
        <v>0</v>
      </c>
      <c r="N10" s="11">
        <f t="shared" si="0"/>
        <v>1770.4700000000003</v>
      </c>
      <c r="O10" s="11">
        <f t="shared" si="1"/>
        <v>0</v>
      </c>
      <c r="P10" s="9">
        <v>325</v>
      </c>
      <c r="Q10" s="13">
        <v>45848</v>
      </c>
      <c r="R10" s="14"/>
      <c r="S10" s="15">
        <f t="shared" si="2"/>
        <v>-4.910000000000025</v>
      </c>
    </row>
    <row r="11" spans="1:19" x14ac:dyDescent="0.25">
      <c r="A11" s="7">
        <f>'[1]Cash Variance'!A12</f>
        <v>45848</v>
      </c>
      <c r="B11" s="8">
        <v>1499.82</v>
      </c>
      <c r="C11" s="8">
        <v>239.12</v>
      </c>
      <c r="D11" s="9">
        <v>120.15</v>
      </c>
      <c r="E11" s="9">
        <v>7</v>
      </c>
      <c r="F11" s="10">
        <f t="shared" si="3"/>
        <v>1866.0900000000001</v>
      </c>
      <c r="G11" s="9">
        <v>396.39</v>
      </c>
      <c r="H11" s="9">
        <f>1235.03-3.29</f>
        <v>1231.74</v>
      </c>
      <c r="I11" s="9">
        <v>0</v>
      </c>
      <c r="J11" s="9">
        <v>125.04</v>
      </c>
      <c r="K11" s="9">
        <v>35.08</v>
      </c>
      <c r="L11" s="9">
        <v>77.84</v>
      </c>
      <c r="M11" s="9">
        <v>0</v>
      </c>
      <c r="N11" s="11">
        <f t="shared" si="0"/>
        <v>1866.09</v>
      </c>
      <c r="O11" s="11">
        <f t="shared" si="1"/>
        <v>0</v>
      </c>
      <c r="P11" s="9">
        <v>355</v>
      </c>
      <c r="Q11" s="13">
        <v>45852</v>
      </c>
      <c r="R11" s="14"/>
      <c r="S11" s="15">
        <f t="shared" si="2"/>
        <v>-41.389999999999986</v>
      </c>
    </row>
    <row r="12" spans="1:19" x14ac:dyDescent="0.25">
      <c r="A12" s="7">
        <f>'[1]Cash Variance'!A13</f>
        <v>45849</v>
      </c>
      <c r="B12" s="8">
        <v>1695.23</v>
      </c>
      <c r="C12" s="8">
        <v>473.26</v>
      </c>
      <c r="D12" s="9">
        <v>135.81</v>
      </c>
      <c r="E12" s="9">
        <v>11.72</v>
      </c>
      <c r="F12" s="10">
        <f t="shared" si="3"/>
        <v>2316.0199999999995</v>
      </c>
      <c r="G12" s="9">
        <v>507.28</v>
      </c>
      <c r="H12" s="9">
        <f>1337.96-16.98</f>
        <v>1320.98</v>
      </c>
      <c r="I12" s="9">
        <v>0</v>
      </c>
      <c r="J12" s="9">
        <v>156.21</v>
      </c>
      <c r="K12" s="9">
        <v>60.86</v>
      </c>
      <c r="L12" s="9">
        <v>270.69</v>
      </c>
      <c r="M12" s="9">
        <v>0</v>
      </c>
      <c r="N12" s="11">
        <f t="shared" si="0"/>
        <v>2316.02</v>
      </c>
      <c r="O12" s="11">
        <f t="shared" si="1"/>
        <v>0</v>
      </c>
      <c r="P12" s="9">
        <v>505</v>
      </c>
      <c r="Q12" s="13">
        <v>45852</v>
      </c>
      <c r="R12" s="14"/>
      <c r="S12" s="15">
        <f t="shared" si="2"/>
        <v>-2.2799999999999727</v>
      </c>
    </row>
    <row r="13" spans="1:19" x14ac:dyDescent="0.25">
      <c r="A13" s="7">
        <f>'[1]Cash Variance'!A14</f>
        <v>45850</v>
      </c>
      <c r="B13" s="8">
        <v>1665.34</v>
      </c>
      <c r="C13" s="8">
        <v>430.12</v>
      </c>
      <c r="D13" s="9">
        <v>133.43</v>
      </c>
      <c r="E13" s="9">
        <v>9</v>
      </c>
      <c r="F13" s="10">
        <f t="shared" si="3"/>
        <v>2237.89</v>
      </c>
      <c r="G13" s="9">
        <v>459.35</v>
      </c>
      <c r="H13" s="9">
        <f>1304.23-7.49</f>
        <v>1296.74</v>
      </c>
      <c r="I13" s="9">
        <v>46.68</v>
      </c>
      <c r="J13" s="9">
        <v>323.67</v>
      </c>
      <c r="K13" s="9">
        <v>0</v>
      </c>
      <c r="L13" s="9">
        <v>111.45</v>
      </c>
      <c r="M13" s="9">
        <v>0</v>
      </c>
      <c r="N13" s="11">
        <f t="shared" si="0"/>
        <v>2237.89</v>
      </c>
      <c r="O13" s="11">
        <f t="shared" si="1"/>
        <v>0</v>
      </c>
      <c r="P13" s="9">
        <v>460</v>
      </c>
      <c r="Q13" s="13">
        <v>45854</v>
      </c>
      <c r="R13" s="14"/>
      <c r="S13" s="15">
        <f t="shared" si="2"/>
        <v>0.64999999999997726</v>
      </c>
    </row>
    <row r="14" spans="1:19" x14ac:dyDescent="0.25">
      <c r="A14" s="7">
        <f>'[1]Cash Variance'!A15</f>
        <v>45851</v>
      </c>
      <c r="B14" s="8">
        <v>1228.58</v>
      </c>
      <c r="C14" s="8">
        <v>407.51</v>
      </c>
      <c r="D14" s="9">
        <v>98.44</v>
      </c>
      <c r="E14" s="9">
        <v>4</v>
      </c>
      <c r="F14" s="10">
        <f t="shared" si="3"/>
        <v>1738.53</v>
      </c>
      <c r="G14" s="9">
        <v>347</v>
      </c>
      <c r="H14" s="9">
        <f>984.02-17</f>
        <v>967.02</v>
      </c>
      <c r="I14" s="9">
        <v>0</v>
      </c>
      <c r="J14" s="9">
        <v>208.62</v>
      </c>
      <c r="K14" s="9">
        <v>18.73</v>
      </c>
      <c r="L14" s="9">
        <v>197.16</v>
      </c>
      <c r="M14" s="9">
        <v>0</v>
      </c>
      <c r="N14" s="11">
        <f t="shared" si="0"/>
        <v>1738.53</v>
      </c>
      <c r="O14" s="11">
        <f t="shared" si="1"/>
        <v>0</v>
      </c>
      <c r="P14" s="9">
        <v>345</v>
      </c>
      <c r="Q14" s="13">
        <v>45854</v>
      </c>
      <c r="R14" s="14"/>
      <c r="S14" s="15">
        <f t="shared" si="2"/>
        <v>-2</v>
      </c>
    </row>
    <row r="15" spans="1:19" x14ac:dyDescent="0.25">
      <c r="A15" s="7">
        <f>'[1]Cash Variance'!A16</f>
        <v>45852</v>
      </c>
      <c r="B15" s="8">
        <v>817.24</v>
      </c>
      <c r="C15" s="8">
        <v>370.74</v>
      </c>
      <c r="D15" s="9">
        <v>65.489999999999995</v>
      </c>
      <c r="E15" s="9">
        <v>0</v>
      </c>
      <c r="F15" s="10">
        <f t="shared" si="3"/>
        <v>1253.47</v>
      </c>
      <c r="G15" s="9">
        <v>212.33</v>
      </c>
      <c r="H15" s="9">
        <f>632.1-2.5</f>
        <v>629.6</v>
      </c>
      <c r="I15" s="9">
        <v>38.299999999999997</v>
      </c>
      <c r="J15" s="9">
        <v>227.17</v>
      </c>
      <c r="K15" s="9">
        <v>0</v>
      </c>
      <c r="L15" s="9">
        <v>146.07</v>
      </c>
      <c r="M15" s="9">
        <v>0</v>
      </c>
      <c r="N15" s="11">
        <f t="shared" si="0"/>
        <v>1253.47</v>
      </c>
      <c r="O15" s="11">
        <f t="shared" si="1"/>
        <v>0</v>
      </c>
      <c r="P15" s="9">
        <v>210</v>
      </c>
      <c r="Q15" s="13">
        <v>45854</v>
      </c>
      <c r="R15" s="14"/>
      <c r="S15" s="15">
        <f t="shared" si="2"/>
        <v>-2.3300000000000125</v>
      </c>
    </row>
    <row r="16" spans="1:19" x14ac:dyDescent="0.25">
      <c r="A16" s="7">
        <f>'[1]Cash Variance'!A17</f>
        <v>45853</v>
      </c>
      <c r="B16" s="8">
        <v>1226.3800000000001</v>
      </c>
      <c r="C16" s="8">
        <v>369.65</v>
      </c>
      <c r="D16" s="9">
        <v>98.31</v>
      </c>
      <c r="E16" s="9">
        <v>4</v>
      </c>
      <c r="F16" s="10">
        <f t="shared" si="3"/>
        <v>1698.3400000000001</v>
      </c>
      <c r="G16" s="9">
        <v>309.08</v>
      </c>
      <c r="H16" s="9">
        <f>1022.11-12.5</f>
        <v>1009.61</v>
      </c>
      <c r="I16" s="9">
        <v>0</v>
      </c>
      <c r="J16" s="9">
        <v>138.69999999999999</v>
      </c>
      <c r="K16" s="9">
        <v>37.479999999999997</v>
      </c>
      <c r="L16" s="9">
        <v>203.47</v>
      </c>
      <c r="M16" s="9">
        <v>0</v>
      </c>
      <c r="N16" s="11">
        <f t="shared" si="0"/>
        <v>1698.3400000000001</v>
      </c>
      <c r="O16" s="11">
        <f t="shared" si="1"/>
        <v>0</v>
      </c>
      <c r="P16" s="9">
        <v>245</v>
      </c>
      <c r="Q16" s="13">
        <v>45854</v>
      </c>
      <c r="R16" s="9">
        <v>-33.979999999999997</v>
      </c>
      <c r="S16" s="15">
        <f t="shared" si="2"/>
        <v>-30.099999999999987</v>
      </c>
    </row>
    <row r="17" spans="1:19" x14ac:dyDescent="0.25">
      <c r="A17" s="7">
        <f>'[1]Cash Variance'!A18</f>
        <v>45854</v>
      </c>
      <c r="B17" s="8">
        <v>757.94</v>
      </c>
      <c r="C17" s="8">
        <v>178.01</v>
      </c>
      <c r="D17" s="9">
        <v>60.72</v>
      </c>
      <c r="E17" s="9">
        <v>4</v>
      </c>
      <c r="F17" s="10">
        <f t="shared" si="3"/>
        <v>1000.6700000000001</v>
      </c>
      <c r="G17" s="9">
        <v>284.95999999999998</v>
      </c>
      <c r="H17" s="9">
        <f>549.68-2.49</f>
        <v>547.18999999999994</v>
      </c>
      <c r="I17" s="9">
        <v>0</v>
      </c>
      <c r="J17" s="9">
        <v>52.51</v>
      </c>
      <c r="K17" s="9">
        <v>32.340000000000003</v>
      </c>
      <c r="L17" s="9">
        <v>83.67</v>
      </c>
      <c r="M17" s="9">
        <v>0</v>
      </c>
      <c r="N17" s="11">
        <f t="shared" si="0"/>
        <v>1000.6699999999998</v>
      </c>
      <c r="O17" s="11">
        <f t="shared" si="1"/>
        <v>0</v>
      </c>
      <c r="P17" s="9">
        <v>285</v>
      </c>
      <c r="Q17" s="13">
        <v>45856</v>
      </c>
      <c r="R17" s="18"/>
      <c r="S17" s="15">
        <f t="shared" si="2"/>
        <v>4.0000000000020464E-2</v>
      </c>
    </row>
    <row r="18" spans="1:19" x14ac:dyDescent="0.25">
      <c r="A18" s="7">
        <f>'[1]Cash Variance'!A19</f>
        <v>45855</v>
      </c>
      <c r="B18" s="8">
        <v>1477.5</v>
      </c>
      <c r="C18" s="8">
        <v>312.39999999999998</v>
      </c>
      <c r="D18" s="9">
        <v>118.39</v>
      </c>
      <c r="E18" s="9">
        <v>9</v>
      </c>
      <c r="F18" s="10">
        <f t="shared" si="3"/>
        <v>1917.2900000000002</v>
      </c>
      <c r="G18" s="9">
        <v>393.42</v>
      </c>
      <c r="H18" s="9">
        <f>1198.54-5</f>
        <v>1193.54</v>
      </c>
      <c r="I18" s="9">
        <v>12.93</v>
      </c>
      <c r="J18" s="9">
        <v>203.19</v>
      </c>
      <c r="K18" s="9">
        <v>0</v>
      </c>
      <c r="L18" s="9">
        <v>114.21</v>
      </c>
      <c r="M18" s="9">
        <v>0</v>
      </c>
      <c r="N18" s="11">
        <f t="shared" si="0"/>
        <v>1917.2900000000002</v>
      </c>
      <c r="O18" s="11">
        <f t="shared" si="1"/>
        <v>0</v>
      </c>
      <c r="P18" s="9">
        <v>395</v>
      </c>
      <c r="Q18" s="13">
        <v>45861</v>
      </c>
      <c r="R18" s="18"/>
      <c r="S18" s="15">
        <f t="shared" si="2"/>
        <v>1.5799999999999841</v>
      </c>
    </row>
    <row r="19" spans="1:19" x14ac:dyDescent="0.25">
      <c r="A19" s="7">
        <f>'[1]Cash Variance'!A20</f>
        <v>45856</v>
      </c>
      <c r="B19" s="8">
        <v>445.14</v>
      </c>
      <c r="C19" s="8">
        <v>56.62</v>
      </c>
      <c r="D19" s="9">
        <v>35.65</v>
      </c>
      <c r="E19" s="9">
        <v>3</v>
      </c>
      <c r="F19" s="10">
        <f t="shared" si="3"/>
        <v>540.41</v>
      </c>
      <c r="G19" s="9">
        <v>211.26</v>
      </c>
      <c r="H19" s="9">
        <v>277.02</v>
      </c>
      <c r="I19" s="9">
        <v>0</v>
      </c>
      <c r="J19" s="9">
        <v>37.5</v>
      </c>
      <c r="K19" s="9">
        <v>0</v>
      </c>
      <c r="L19" s="9">
        <v>14.63</v>
      </c>
      <c r="M19" s="9">
        <v>0</v>
      </c>
      <c r="N19" s="11">
        <f t="shared" si="0"/>
        <v>540.41</v>
      </c>
      <c r="O19" s="11">
        <f t="shared" si="1"/>
        <v>0</v>
      </c>
      <c r="P19" s="9">
        <v>210</v>
      </c>
      <c r="Q19" s="13">
        <v>45861</v>
      </c>
      <c r="R19" s="18"/>
      <c r="S19" s="15">
        <f t="shared" si="2"/>
        <v>-1.2599999999999909</v>
      </c>
    </row>
    <row r="20" spans="1:19" x14ac:dyDescent="0.25">
      <c r="A20" s="7">
        <f>'[1]Cash Variance'!A21</f>
        <v>45857</v>
      </c>
      <c r="B20" s="8">
        <v>1332.09</v>
      </c>
      <c r="C20" s="8">
        <v>622.15</v>
      </c>
      <c r="D20" s="9">
        <v>106.75</v>
      </c>
      <c r="E20" s="9">
        <v>12</v>
      </c>
      <c r="F20" s="10">
        <f t="shared" si="3"/>
        <v>2072.9899999999998</v>
      </c>
      <c r="G20" s="9">
        <v>477.58</v>
      </c>
      <c r="H20" s="9">
        <v>926.81</v>
      </c>
      <c r="I20" s="9">
        <v>53.43</v>
      </c>
      <c r="J20" s="9">
        <v>261.52</v>
      </c>
      <c r="K20" s="9">
        <v>68.75</v>
      </c>
      <c r="L20" s="9">
        <v>284.89</v>
      </c>
      <c r="M20" s="9">
        <v>0</v>
      </c>
      <c r="N20" s="11">
        <f t="shared" si="0"/>
        <v>2072.98</v>
      </c>
      <c r="O20" s="11">
        <f t="shared" si="1"/>
        <v>9.9999999997635314E-3</v>
      </c>
      <c r="P20" s="9">
        <v>475</v>
      </c>
      <c r="Q20" s="13">
        <v>45861</v>
      </c>
      <c r="R20" s="18"/>
      <c r="S20" s="15">
        <f t="shared" si="2"/>
        <v>-2.5799999999999841</v>
      </c>
    </row>
    <row r="21" spans="1:19" x14ac:dyDescent="0.25">
      <c r="A21" s="7">
        <f>'[1]Cash Variance'!A22</f>
        <v>45858</v>
      </c>
      <c r="B21" s="8">
        <v>1380.41</v>
      </c>
      <c r="C21" s="8">
        <v>4.49</v>
      </c>
      <c r="D21" s="9">
        <v>110.6</v>
      </c>
      <c r="E21" s="9">
        <v>0</v>
      </c>
      <c r="F21" s="10">
        <f t="shared" si="3"/>
        <v>1495.5</v>
      </c>
      <c r="G21" s="9">
        <v>350.03</v>
      </c>
      <c r="H21" s="9">
        <v>1145.47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1">
        <f t="shared" si="0"/>
        <v>1495.5</v>
      </c>
      <c r="O21" s="11">
        <f t="shared" si="1"/>
        <v>0</v>
      </c>
      <c r="P21" s="9">
        <v>350</v>
      </c>
      <c r="Q21" s="13">
        <v>45861</v>
      </c>
      <c r="R21" s="18"/>
      <c r="S21" s="15">
        <f t="shared" si="2"/>
        <v>-2.9999999999972715E-2</v>
      </c>
    </row>
    <row r="22" spans="1:19" x14ac:dyDescent="0.25">
      <c r="A22" s="7">
        <f>'[1]Cash Variance'!A23</f>
        <v>45859</v>
      </c>
      <c r="B22" s="8">
        <v>969.18</v>
      </c>
      <c r="C22" s="8">
        <v>314.16000000000003</v>
      </c>
      <c r="D22" s="9">
        <v>77.7</v>
      </c>
      <c r="E22" s="9">
        <v>11.45</v>
      </c>
      <c r="F22" s="10">
        <f t="shared" si="3"/>
        <v>1372.49</v>
      </c>
      <c r="G22" s="9">
        <v>257.02</v>
      </c>
      <c r="H22" s="9">
        <v>807.59</v>
      </c>
      <c r="I22" s="9">
        <v>0</v>
      </c>
      <c r="J22" s="9">
        <v>287.14999999999998</v>
      </c>
      <c r="K22" s="9">
        <v>0</v>
      </c>
      <c r="L22" s="9">
        <v>20.72</v>
      </c>
      <c r="M22" s="9">
        <v>0</v>
      </c>
      <c r="N22" s="11">
        <f t="shared" si="0"/>
        <v>1372.4800000000002</v>
      </c>
      <c r="O22" s="11">
        <f t="shared" si="1"/>
        <v>9.9999999997635314E-3</v>
      </c>
      <c r="P22" s="19">
        <v>255</v>
      </c>
      <c r="Q22" s="13">
        <v>45861</v>
      </c>
      <c r="R22" s="18"/>
      <c r="S22" s="15">
        <f t="shared" si="2"/>
        <v>-2.0199999999999818</v>
      </c>
    </row>
    <row r="23" spans="1:19" x14ac:dyDescent="0.25">
      <c r="A23" s="7">
        <f>'[1]Cash Variance'!A24</f>
        <v>45860</v>
      </c>
      <c r="B23" s="8">
        <v>1349.53</v>
      </c>
      <c r="C23" s="8">
        <v>504.29</v>
      </c>
      <c r="D23" s="9">
        <v>108.17</v>
      </c>
      <c r="E23" s="9">
        <v>5.64</v>
      </c>
      <c r="F23" s="10">
        <f>SUM(B23:E23)</f>
        <v>1967.63</v>
      </c>
      <c r="G23" s="9">
        <v>403.14</v>
      </c>
      <c r="H23" s="9">
        <v>1069.17</v>
      </c>
      <c r="I23" s="9">
        <v>0</v>
      </c>
      <c r="J23" s="9">
        <v>287.64</v>
      </c>
      <c r="K23" s="9">
        <v>20.3</v>
      </c>
      <c r="L23" s="9">
        <v>187.37</v>
      </c>
      <c r="M23" s="9">
        <v>0</v>
      </c>
      <c r="N23" s="11">
        <f t="shared" si="0"/>
        <v>1967.62</v>
      </c>
      <c r="O23" s="11">
        <f t="shared" si="1"/>
        <v>1.0000000000218279E-2</v>
      </c>
      <c r="P23" s="19">
        <v>395</v>
      </c>
      <c r="Q23" s="20">
        <v>45869</v>
      </c>
      <c r="R23" s="18"/>
      <c r="S23" s="15">
        <f t="shared" si="2"/>
        <v>-8.1399999999999864</v>
      </c>
    </row>
    <row r="24" spans="1:19" x14ac:dyDescent="0.25">
      <c r="A24" s="7">
        <f>'[1]Cash Variance'!A25</f>
        <v>45861</v>
      </c>
      <c r="B24" s="8">
        <v>1143.27</v>
      </c>
      <c r="C24" s="8">
        <v>333.03</v>
      </c>
      <c r="D24" s="9">
        <v>91.62</v>
      </c>
      <c r="E24" s="9">
        <v>2</v>
      </c>
      <c r="F24" s="10">
        <f t="shared" si="3"/>
        <v>1569.92</v>
      </c>
      <c r="G24" s="9">
        <v>441.99</v>
      </c>
      <c r="H24" s="9">
        <v>784.25</v>
      </c>
      <c r="I24" s="9">
        <v>15.65</v>
      </c>
      <c r="J24" s="9">
        <v>159.85</v>
      </c>
      <c r="K24" s="9">
        <v>29.85</v>
      </c>
      <c r="L24" s="9">
        <v>138.33000000000001</v>
      </c>
      <c r="M24" s="9">
        <v>0</v>
      </c>
      <c r="N24" s="11">
        <f t="shared" si="0"/>
        <v>1569.9199999999998</v>
      </c>
      <c r="O24" s="11">
        <f t="shared" si="1"/>
        <v>0</v>
      </c>
      <c r="P24" s="19">
        <v>440</v>
      </c>
      <c r="Q24" s="20">
        <v>45869</v>
      </c>
      <c r="R24" s="18"/>
      <c r="S24" s="15">
        <f t="shared" si="2"/>
        <v>-1.9900000000000091</v>
      </c>
    </row>
    <row r="25" spans="1:19" x14ac:dyDescent="0.25">
      <c r="A25" s="7">
        <f>'[1]Cash Variance'!A26</f>
        <v>45862</v>
      </c>
      <c r="B25" s="8">
        <v>1325.73</v>
      </c>
      <c r="C25" s="8">
        <v>309.83999999999997</v>
      </c>
      <c r="D25" s="9">
        <v>106.21</v>
      </c>
      <c r="E25" s="9">
        <v>9.8800000000000008</v>
      </c>
      <c r="F25" s="10">
        <f t="shared" si="3"/>
        <v>1751.66</v>
      </c>
      <c r="G25" s="9">
        <v>395.06</v>
      </c>
      <c r="H25" s="9">
        <v>1060.23</v>
      </c>
      <c r="I25" s="9">
        <v>0</v>
      </c>
      <c r="J25" s="9">
        <v>161.94999999999999</v>
      </c>
      <c r="K25" s="9">
        <v>25.67</v>
      </c>
      <c r="L25" s="9">
        <v>108.75</v>
      </c>
      <c r="M25" s="9">
        <v>0</v>
      </c>
      <c r="N25" s="11">
        <f t="shared" si="0"/>
        <v>1751.66</v>
      </c>
      <c r="O25" s="11">
        <f t="shared" si="1"/>
        <v>0</v>
      </c>
      <c r="P25" s="19">
        <v>395</v>
      </c>
      <c r="Q25" s="20">
        <v>45869</v>
      </c>
      <c r="R25" s="18"/>
      <c r="S25" s="15">
        <f t="shared" si="2"/>
        <v>-6.0000000000002274E-2</v>
      </c>
    </row>
    <row r="26" spans="1:19" x14ac:dyDescent="0.25">
      <c r="A26" s="7">
        <f>'[1]Cash Variance'!A27</f>
        <v>45863</v>
      </c>
      <c r="B26" s="9">
        <v>2488.91</v>
      </c>
      <c r="C26" s="9">
        <v>550.16</v>
      </c>
      <c r="D26" s="9">
        <v>199.41</v>
      </c>
      <c r="E26" s="9">
        <v>12.15</v>
      </c>
      <c r="F26" s="10">
        <f t="shared" si="3"/>
        <v>3250.6299999999997</v>
      </c>
      <c r="G26" s="9">
        <v>705.41</v>
      </c>
      <c r="H26" s="9">
        <v>1997.55</v>
      </c>
      <c r="I26" s="9">
        <v>0</v>
      </c>
      <c r="J26" s="9">
        <v>250.01</v>
      </c>
      <c r="K26" s="9">
        <v>0</v>
      </c>
      <c r="L26" s="9">
        <v>297.64999999999998</v>
      </c>
      <c r="M26" s="9">
        <v>0</v>
      </c>
      <c r="N26" s="11">
        <f t="shared" si="0"/>
        <v>3250.6200000000003</v>
      </c>
      <c r="O26" s="11">
        <f t="shared" si="1"/>
        <v>9.999999999308784E-3</v>
      </c>
      <c r="P26" s="19">
        <v>705</v>
      </c>
      <c r="Q26" s="20">
        <v>45869</v>
      </c>
      <c r="R26" s="18"/>
      <c r="S26" s="15">
        <f t="shared" si="2"/>
        <v>-0.40999999999996817</v>
      </c>
    </row>
    <row r="27" spans="1:19" x14ac:dyDescent="0.25">
      <c r="A27" s="7">
        <f>'[1]Cash Variance'!A28</f>
        <v>45864</v>
      </c>
      <c r="B27" s="8">
        <v>1491.43</v>
      </c>
      <c r="C27" s="8">
        <v>614.95000000000005</v>
      </c>
      <c r="D27" s="9">
        <v>119.5</v>
      </c>
      <c r="E27" s="9">
        <v>6.45</v>
      </c>
      <c r="F27" s="10">
        <f t="shared" si="3"/>
        <v>2232.33</v>
      </c>
      <c r="G27" s="9">
        <v>386.12</v>
      </c>
      <c r="H27" s="9">
        <v>1191.8800000000001</v>
      </c>
      <c r="I27" s="9">
        <v>45.34</v>
      </c>
      <c r="J27" s="9">
        <v>433.92</v>
      </c>
      <c r="K27" s="9">
        <v>20.54</v>
      </c>
      <c r="L27" s="9">
        <v>139.52000000000001</v>
      </c>
      <c r="M27" s="9">
        <v>15</v>
      </c>
      <c r="N27" s="11">
        <f t="shared" si="0"/>
        <v>2232.3199999999997</v>
      </c>
      <c r="O27" s="11">
        <f t="shared" si="1"/>
        <v>1.0000000000218279E-2</v>
      </c>
      <c r="P27" s="19">
        <v>385</v>
      </c>
      <c r="Q27" s="20">
        <v>45869</v>
      </c>
      <c r="R27" s="18"/>
      <c r="S27" s="15">
        <f t="shared" si="2"/>
        <v>-1.1200000000000045</v>
      </c>
    </row>
    <row r="28" spans="1:19" x14ac:dyDescent="0.25">
      <c r="A28" s="7">
        <f>'[1]Cash Variance'!A29</f>
        <v>45865</v>
      </c>
      <c r="B28" s="8">
        <v>905.34</v>
      </c>
      <c r="C28" s="8">
        <v>210.08</v>
      </c>
      <c r="D28" s="9">
        <v>72.56</v>
      </c>
      <c r="E28" s="9">
        <v>0</v>
      </c>
      <c r="F28" s="10">
        <f t="shared" si="3"/>
        <v>1187.98</v>
      </c>
      <c r="G28" s="9">
        <v>286.86</v>
      </c>
      <c r="H28" s="9">
        <v>691.04</v>
      </c>
      <c r="I28" s="9">
        <v>0</v>
      </c>
      <c r="J28" s="9">
        <v>169.05</v>
      </c>
      <c r="K28" s="9">
        <v>30.67</v>
      </c>
      <c r="L28" s="9">
        <v>10.36</v>
      </c>
      <c r="M28" s="9">
        <v>0</v>
      </c>
      <c r="N28" s="11">
        <f t="shared" si="0"/>
        <v>1187.98</v>
      </c>
      <c r="O28" s="11">
        <f t="shared" si="1"/>
        <v>0</v>
      </c>
      <c r="P28" s="19">
        <v>285</v>
      </c>
      <c r="Q28" s="20">
        <v>45869</v>
      </c>
      <c r="R28" s="18"/>
      <c r="S28" s="15">
        <f t="shared" si="2"/>
        <v>-1.8600000000000136</v>
      </c>
    </row>
    <row r="29" spans="1:19" x14ac:dyDescent="0.25">
      <c r="A29" s="7">
        <f>'[1]Cash Variance'!A30</f>
        <v>45866</v>
      </c>
      <c r="B29" s="8">
        <v>1116.01</v>
      </c>
      <c r="C29" s="8">
        <v>202.42</v>
      </c>
      <c r="D29" s="9">
        <v>89.44</v>
      </c>
      <c r="E29" s="9">
        <v>2</v>
      </c>
      <c r="F29" s="10">
        <f t="shared" si="3"/>
        <v>1409.8700000000001</v>
      </c>
      <c r="G29" s="9">
        <v>386.8</v>
      </c>
      <c r="H29" s="9">
        <v>820.65</v>
      </c>
      <c r="I29" s="9">
        <v>0</v>
      </c>
      <c r="J29" s="9">
        <v>130.6</v>
      </c>
      <c r="K29" s="9">
        <v>34.04</v>
      </c>
      <c r="L29" s="9">
        <v>37.78</v>
      </c>
      <c r="M29" s="9">
        <v>0</v>
      </c>
      <c r="N29" s="11">
        <f t="shared" si="0"/>
        <v>1409.87</v>
      </c>
      <c r="O29" s="11">
        <f t="shared" si="1"/>
        <v>0</v>
      </c>
      <c r="P29" s="19">
        <v>385</v>
      </c>
      <c r="Q29" s="20">
        <v>45869</v>
      </c>
      <c r="R29" s="18"/>
      <c r="S29" s="15">
        <f t="shared" si="2"/>
        <v>-1.8000000000000114</v>
      </c>
    </row>
    <row r="30" spans="1:19" x14ac:dyDescent="0.25">
      <c r="A30" s="7">
        <f>'[1]Cash Variance'!A31</f>
        <v>45867</v>
      </c>
      <c r="B30" s="8">
        <v>1042.28</v>
      </c>
      <c r="C30" s="8">
        <v>402.83</v>
      </c>
      <c r="D30" s="9">
        <v>83.52</v>
      </c>
      <c r="E30" s="9">
        <v>5</v>
      </c>
      <c r="F30" s="10">
        <f t="shared" si="3"/>
        <v>1533.6299999999999</v>
      </c>
      <c r="G30" s="9">
        <v>280.26</v>
      </c>
      <c r="H30" s="9">
        <v>850.54</v>
      </c>
      <c r="I30" s="9">
        <v>0</v>
      </c>
      <c r="J30" s="9">
        <v>281.79000000000002</v>
      </c>
      <c r="K30" s="9">
        <v>38.79</v>
      </c>
      <c r="L30" s="9">
        <v>82.25</v>
      </c>
      <c r="M30" s="9">
        <v>0</v>
      </c>
      <c r="N30" s="21">
        <f t="shared" si="0"/>
        <v>1533.6299999999999</v>
      </c>
      <c r="O30" s="21">
        <f t="shared" si="1"/>
        <v>0</v>
      </c>
      <c r="P30" s="19">
        <v>280</v>
      </c>
      <c r="Q30" s="20">
        <v>45869</v>
      </c>
      <c r="R30" s="18"/>
      <c r="S30" s="15">
        <f t="shared" si="2"/>
        <v>-0.25999999999999091</v>
      </c>
    </row>
    <row r="31" spans="1:19" x14ac:dyDescent="0.25">
      <c r="A31" s="7">
        <f>'[1]Cash Variance'!A32</f>
        <v>45868</v>
      </c>
      <c r="B31" s="8">
        <v>1307.03</v>
      </c>
      <c r="C31" s="8">
        <v>483.05</v>
      </c>
      <c r="D31" s="9">
        <v>104.76</v>
      </c>
      <c r="E31" s="9">
        <v>4</v>
      </c>
      <c r="F31" s="10">
        <f t="shared" si="3"/>
        <v>1898.84</v>
      </c>
      <c r="G31" s="9">
        <v>460.59</v>
      </c>
      <c r="H31" s="9">
        <f>955.19-2.49</f>
        <v>952.7</v>
      </c>
      <c r="I31" s="9">
        <v>0</v>
      </c>
      <c r="J31" s="9">
        <v>278.29000000000002</v>
      </c>
      <c r="K31" s="9">
        <v>59.69</v>
      </c>
      <c r="L31" s="9">
        <v>147.57</v>
      </c>
      <c r="M31" s="22">
        <v>0</v>
      </c>
      <c r="N31" s="23">
        <f t="shared" si="0"/>
        <v>1898.84</v>
      </c>
      <c r="O31" s="24">
        <f t="shared" si="1"/>
        <v>0</v>
      </c>
      <c r="P31" s="19">
        <v>460</v>
      </c>
      <c r="Q31" s="20">
        <v>45869</v>
      </c>
      <c r="R31" s="19">
        <v>-106</v>
      </c>
      <c r="S31" s="15">
        <f t="shared" si="2"/>
        <v>105.41000000000003</v>
      </c>
    </row>
    <row r="32" spans="1:19" ht="15.75" thickBot="1" x14ac:dyDescent="0.3">
      <c r="A32" s="7">
        <f>'[1]Cash Variance'!A33</f>
        <v>45869</v>
      </c>
      <c r="B32" s="25">
        <v>1083.05</v>
      </c>
      <c r="C32" s="8">
        <v>396.02</v>
      </c>
      <c r="D32" s="9">
        <v>86.77</v>
      </c>
      <c r="E32" s="9">
        <v>5.96</v>
      </c>
      <c r="F32" s="10">
        <f>SUM(B32:E32)</f>
        <v>1571.8</v>
      </c>
      <c r="G32" s="9">
        <v>130.52000000000001</v>
      </c>
      <c r="H32" s="9">
        <f>1050.64-8.14</f>
        <v>1042.5</v>
      </c>
      <c r="I32" s="9">
        <v>8.09</v>
      </c>
      <c r="J32" s="9">
        <v>256.67</v>
      </c>
      <c r="K32" s="9">
        <v>13.43</v>
      </c>
      <c r="L32" s="9">
        <v>120.59</v>
      </c>
      <c r="M32" s="22">
        <v>0</v>
      </c>
      <c r="N32" s="23">
        <f t="shared" si="0"/>
        <v>1571.8</v>
      </c>
      <c r="O32" s="23">
        <f t="shared" si="1"/>
        <v>0</v>
      </c>
      <c r="P32" s="19"/>
      <c r="Q32" s="13"/>
      <c r="R32" s="18"/>
      <c r="S32" s="15">
        <f t="shared" si="2"/>
        <v>-130.52000000000001</v>
      </c>
    </row>
    <row r="33" spans="1:19" ht="15.75" thickBot="1" x14ac:dyDescent="0.3">
      <c r="A33" s="26" t="s">
        <v>9</v>
      </c>
      <c r="B33" s="27">
        <f t="shared" ref="B33:M33" si="4">SUM(B2:B32)</f>
        <v>39579.629999999997</v>
      </c>
      <c r="C33" s="27">
        <f t="shared" ref="C33:H33" si="5">SUM(C2:C32)</f>
        <v>10518.82</v>
      </c>
      <c r="D33" s="27">
        <f t="shared" si="5"/>
        <v>3171.46</v>
      </c>
      <c r="E33" s="27">
        <f t="shared" si="5"/>
        <v>196.84999999999997</v>
      </c>
      <c r="F33" s="28">
        <f t="shared" si="5"/>
        <v>53466.76</v>
      </c>
      <c r="G33" s="27">
        <f t="shared" si="5"/>
        <v>11643.400000000001</v>
      </c>
      <c r="H33" s="27">
        <f t="shared" si="5"/>
        <v>31041.830000000009</v>
      </c>
      <c r="I33" s="27">
        <f t="shared" si="4"/>
        <v>289.99</v>
      </c>
      <c r="J33" s="27">
        <f>SUM(J2:J32)</f>
        <v>6335.3500000000013</v>
      </c>
      <c r="K33" s="27">
        <f t="shared" si="4"/>
        <v>656.7299999999999</v>
      </c>
      <c r="L33" s="27">
        <f>SUM(L2:L32)</f>
        <v>3481.2600000000007</v>
      </c>
      <c r="M33" s="27">
        <f t="shared" si="4"/>
        <v>19.309999999999999</v>
      </c>
      <c r="N33" s="28">
        <f>SUM(N2:N32)</f>
        <v>53467.870000000017</v>
      </c>
      <c r="O33" s="28">
        <f t="shared" ref="O33:R33" si="6">SUM(O2:O32)</f>
        <v>-1.1100000000008095</v>
      </c>
      <c r="P33" s="27">
        <f>SUM(P2:P32)</f>
        <v>11355</v>
      </c>
      <c r="Q33" s="27"/>
      <c r="R33" s="27">
        <f t="shared" si="6"/>
        <v>-139.97999999999999</v>
      </c>
      <c r="S33" s="15">
        <f t="shared" si="2"/>
        <v>-148.42000000000147</v>
      </c>
    </row>
    <row r="34" spans="1:19" x14ac:dyDescent="0.25">
      <c r="A34" s="29" t="s">
        <v>0</v>
      </c>
      <c r="B34" s="30">
        <f>+B33</f>
        <v>39579.629999999997</v>
      </c>
      <c r="C34" s="30">
        <f>+C33</f>
        <v>10518.82</v>
      </c>
      <c r="D34" s="30">
        <f>+D33</f>
        <v>3171.46</v>
      </c>
      <c r="E34" s="30">
        <f>+E33</f>
        <v>196.84999999999997</v>
      </c>
      <c r="F34" s="29"/>
      <c r="G34" s="30">
        <f>+G33</f>
        <v>11643.400000000001</v>
      </c>
      <c r="H34" s="29"/>
      <c r="I34" s="29"/>
      <c r="J34" s="30">
        <f>+J33</f>
        <v>6335.3500000000013</v>
      </c>
      <c r="K34" s="30">
        <f>+K33</f>
        <v>656.7299999999999</v>
      </c>
      <c r="L34" s="30">
        <f>+L33</f>
        <v>3481.2600000000007</v>
      </c>
      <c r="M34" s="30">
        <f>+M33</f>
        <v>19.309999999999999</v>
      </c>
      <c r="N34" s="29"/>
      <c r="O34" s="29"/>
      <c r="P34" s="31"/>
      <c r="Q34" s="32"/>
      <c r="R34" s="33"/>
    </row>
    <row r="35" spans="1:19" x14ac:dyDescent="0.25">
      <c r="A35" s="34" t="s">
        <v>10</v>
      </c>
      <c r="B35" s="35">
        <f>+B33</f>
        <v>39579.629999999997</v>
      </c>
      <c r="C35" s="35">
        <f>+C33</f>
        <v>10518.82</v>
      </c>
      <c r="D35" s="35">
        <f>+D33</f>
        <v>3171.46</v>
      </c>
      <c r="E35" s="35">
        <f>+E33</f>
        <v>196.84999999999997</v>
      </c>
      <c r="F35" s="34"/>
      <c r="G35" s="35">
        <f>+G33</f>
        <v>11643.400000000001</v>
      </c>
      <c r="H35" s="34"/>
      <c r="I35" s="34"/>
      <c r="J35" s="35">
        <f>+J33</f>
        <v>6335.3500000000013</v>
      </c>
      <c r="K35" s="35">
        <f>+K33</f>
        <v>656.7299999999999</v>
      </c>
      <c r="L35" s="35">
        <f>+L33</f>
        <v>3481.2600000000007</v>
      </c>
      <c r="M35" s="35">
        <f>+M33</f>
        <v>19.309999999999999</v>
      </c>
      <c r="N35" s="34"/>
      <c r="O35" s="34"/>
      <c r="P35" s="34"/>
      <c r="Q35" s="34"/>
      <c r="R35" s="34"/>
      <c r="S35" s="36"/>
    </row>
    <row r="36" spans="1:19" x14ac:dyDescent="0.25">
      <c r="A36" s="34"/>
      <c r="B36" s="34"/>
      <c r="C36" s="34"/>
      <c r="D36" s="34"/>
      <c r="E36" s="34"/>
      <c r="F36" s="34"/>
      <c r="G36" s="34"/>
      <c r="H36" s="43" t="s">
        <v>11</v>
      </c>
      <c r="I36" s="43"/>
      <c r="J36" s="38">
        <v>7640.7</v>
      </c>
      <c r="K36" s="37">
        <f>858.36-135.56-48.12</f>
        <v>674.68</v>
      </c>
      <c r="L36" s="37">
        <v>4381.87</v>
      </c>
      <c r="M36" s="34"/>
      <c r="N36" s="34"/>
      <c r="O36" s="34"/>
      <c r="P36" s="34"/>
      <c r="Q36" s="34"/>
      <c r="R36" s="34"/>
    </row>
    <row r="37" spans="1:19" x14ac:dyDescent="0.25">
      <c r="A37" s="34"/>
      <c r="B37" s="34"/>
      <c r="C37" s="34"/>
      <c r="D37" s="34"/>
      <c r="E37" s="34"/>
      <c r="F37" s="34"/>
      <c r="G37" s="34"/>
      <c r="H37" s="43" t="s">
        <v>12</v>
      </c>
      <c r="I37" s="43"/>
      <c r="J37" s="39">
        <f>+J36-J33</f>
        <v>1305.3499999999985</v>
      </c>
      <c r="K37" s="40">
        <f>+K36-K33</f>
        <v>17.950000000000045</v>
      </c>
      <c r="L37" s="40">
        <f>+L36-L33</f>
        <v>900.60999999999922</v>
      </c>
      <c r="M37" s="34"/>
      <c r="N37" s="34"/>
      <c r="O37" s="34"/>
      <c r="P37" s="34"/>
      <c r="Q37" s="34"/>
      <c r="R37" s="34"/>
    </row>
    <row r="38" spans="1:19" x14ac:dyDescent="0.25">
      <c r="A38" s="34"/>
      <c r="B38" s="34"/>
      <c r="C38" s="34"/>
      <c r="D38" s="34"/>
      <c r="E38" s="34"/>
      <c r="F38" s="34"/>
      <c r="G38" s="34"/>
      <c r="H38" s="43" t="s">
        <v>13</v>
      </c>
      <c r="I38" s="43"/>
      <c r="J38" s="38">
        <v>-1307.76</v>
      </c>
      <c r="K38" s="37">
        <v>-69.3</v>
      </c>
      <c r="L38" s="37">
        <f>-742.48+230.73</f>
        <v>-511.75</v>
      </c>
      <c r="M38" s="34"/>
      <c r="N38" s="34"/>
      <c r="O38" s="34"/>
      <c r="P38" s="34"/>
      <c r="Q38" s="34"/>
      <c r="R38" s="34"/>
    </row>
    <row r="39" spans="1:19" x14ac:dyDescent="0.25">
      <c r="A39" s="34"/>
      <c r="B39" s="34"/>
      <c r="C39" s="34"/>
      <c r="D39" s="34"/>
      <c r="E39" s="34"/>
      <c r="F39" s="34"/>
      <c r="G39" s="34"/>
      <c r="H39" s="43" t="s">
        <v>14</v>
      </c>
      <c r="I39" s="43"/>
      <c r="J39" s="38">
        <v>-1474.49</v>
      </c>
      <c r="K39" s="37">
        <f>-62.35-35.47</f>
        <v>-97.82</v>
      </c>
      <c r="L39" s="37">
        <v>-801.28</v>
      </c>
      <c r="M39" s="34"/>
      <c r="N39" s="34"/>
      <c r="O39" s="34"/>
      <c r="P39" s="34"/>
      <c r="Q39" s="34"/>
      <c r="R39" s="34"/>
    </row>
    <row r="40" spans="1:19" x14ac:dyDescent="0.25">
      <c r="A40" s="34"/>
      <c r="B40" s="34"/>
      <c r="C40" s="34"/>
      <c r="D40" s="34"/>
      <c r="E40" s="34"/>
      <c r="F40" s="34"/>
      <c r="G40" s="34"/>
      <c r="H40" s="43" t="s">
        <v>15</v>
      </c>
      <c r="I40" s="43"/>
      <c r="J40" s="38">
        <v>-251.91</v>
      </c>
      <c r="K40" s="37">
        <v>-32.72</v>
      </c>
      <c r="L40" s="37">
        <v>-36.83</v>
      </c>
      <c r="M40" s="34"/>
      <c r="N40" s="34"/>
      <c r="O40" s="34"/>
      <c r="P40" s="34"/>
      <c r="Q40" s="34"/>
      <c r="R40" s="34"/>
    </row>
    <row r="41" spans="1:19" ht="15.75" thickBot="1" x14ac:dyDescent="0.3">
      <c r="A41" s="34"/>
      <c r="B41" s="34"/>
      <c r="C41" s="34"/>
      <c r="D41" s="34"/>
      <c r="E41" s="34"/>
      <c r="F41" s="34"/>
      <c r="G41" s="34"/>
      <c r="H41" s="44" t="s">
        <v>16</v>
      </c>
      <c r="I41" s="44"/>
      <c r="J41" s="41">
        <f>+J36+J38+J39+J40</f>
        <v>4606.54</v>
      </c>
      <c r="K41" s="42">
        <f>+K36+K38+K39+K40</f>
        <v>474.84000000000003</v>
      </c>
      <c r="L41" s="42">
        <f>+L36+L38+L39+L40</f>
        <v>3032.01</v>
      </c>
      <c r="M41" s="34"/>
      <c r="N41" s="34"/>
      <c r="O41" s="34"/>
      <c r="P41" s="34"/>
      <c r="Q41" s="34"/>
      <c r="R41" s="3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2025-08-20T12:28:12Z</dcterms:created>
  <dcterms:modified xsi:type="dcterms:W3CDTF">2025-10-07T06:04:06Z</dcterms:modified>
</cp:coreProperties>
</file>