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4F6B34D0-BF8C-4BF7-8C7D-C29AB973A8DB}" xr6:coauthVersionLast="47" xr6:coauthVersionMax="47" xr10:uidLastSave="{00000000-0000-0000-0000-000000000000}"/>
  <bookViews>
    <workbookView xWindow="-120" yWindow="-120" windowWidth="20730" windowHeight="11040" xr2:uid="{A67A3D31-3BBA-4F33-88B0-427832538D0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A2" i="1"/>
  <c r="J41" i="1"/>
  <c r="K39" i="1"/>
  <c r="L38" i="1"/>
  <c r="L41" i="1" s="1"/>
  <c r="K36" i="1"/>
  <c r="R33" i="1"/>
  <c r="P33" i="1"/>
  <c r="M33" i="1"/>
  <c r="M35" i="1" s="1"/>
  <c r="L33" i="1"/>
  <c r="L35" i="1" s="1"/>
  <c r="K33" i="1"/>
  <c r="K35" i="1" s="1"/>
  <c r="J33" i="1"/>
  <c r="J34" i="1" s="1"/>
  <c r="I33" i="1"/>
  <c r="G33" i="1"/>
  <c r="G34" i="1" s="1"/>
  <c r="E33" i="1"/>
  <c r="E35" i="1" s="1"/>
  <c r="D33" i="1"/>
  <c r="D34" i="1" s="1"/>
  <c r="C33" i="1"/>
  <c r="C35" i="1" s="1"/>
  <c r="B33" i="1"/>
  <c r="B34" i="1" s="1"/>
  <c r="S32" i="1"/>
  <c r="H32" i="1"/>
  <c r="N32" i="1" s="1"/>
  <c r="F32" i="1"/>
  <c r="A32" i="1"/>
  <c r="S31" i="1"/>
  <c r="H31" i="1"/>
  <c r="N31" i="1" s="1"/>
  <c r="F31" i="1"/>
  <c r="A31" i="1"/>
  <c r="S30" i="1"/>
  <c r="N30" i="1"/>
  <c r="F30" i="1"/>
  <c r="O30" i="1" s="1"/>
  <c r="A30" i="1"/>
  <c r="S29" i="1"/>
  <c r="N29" i="1"/>
  <c r="F29" i="1"/>
  <c r="O29" i="1" s="1"/>
  <c r="A29" i="1"/>
  <c r="S28" i="1"/>
  <c r="H28" i="1"/>
  <c r="N28" i="1" s="1"/>
  <c r="F28" i="1"/>
  <c r="O28" i="1" s="1"/>
  <c r="A28" i="1"/>
  <c r="S27" i="1"/>
  <c r="N27" i="1"/>
  <c r="O27" i="1" s="1"/>
  <c r="H27" i="1"/>
  <c r="F27" i="1"/>
  <c r="A27" i="1"/>
  <c r="S26" i="1"/>
  <c r="H26" i="1"/>
  <c r="N26" i="1" s="1"/>
  <c r="F26" i="1"/>
  <c r="A26" i="1"/>
  <c r="S25" i="1"/>
  <c r="H25" i="1"/>
  <c r="N25" i="1" s="1"/>
  <c r="F25" i="1"/>
  <c r="A25" i="1"/>
  <c r="S24" i="1"/>
  <c r="N24" i="1"/>
  <c r="F24" i="1"/>
  <c r="O24" i="1" s="1"/>
  <c r="A24" i="1"/>
  <c r="S23" i="1"/>
  <c r="N23" i="1"/>
  <c r="O23" i="1" s="1"/>
  <c r="F23" i="1"/>
  <c r="A23" i="1"/>
  <c r="S22" i="1"/>
  <c r="N22" i="1"/>
  <c r="F22" i="1"/>
  <c r="O22" i="1" s="1"/>
  <c r="A22" i="1"/>
  <c r="S21" i="1"/>
  <c r="N21" i="1"/>
  <c r="F21" i="1"/>
  <c r="A21" i="1"/>
  <c r="S20" i="1"/>
  <c r="N20" i="1"/>
  <c r="F20" i="1"/>
  <c r="O20" i="1" s="1"/>
  <c r="A20" i="1"/>
  <c r="S19" i="1"/>
  <c r="N19" i="1"/>
  <c r="H19" i="1"/>
  <c r="F19" i="1"/>
  <c r="A19" i="1"/>
  <c r="S18" i="1"/>
  <c r="H18" i="1"/>
  <c r="N18" i="1" s="1"/>
  <c r="F18" i="1"/>
  <c r="A18" i="1"/>
  <c r="S17" i="1"/>
  <c r="H17" i="1"/>
  <c r="N17" i="1" s="1"/>
  <c r="O17" i="1" s="1"/>
  <c r="F17" i="1"/>
  <c r="A17" i="1"/>
  <c r="S16" i="1"/>
  <c r="H16" i="1"/>
  <c r="N16" i="1" s="1"/>
  <c r="F16" i="1"/>
  <c r="O16" i="1" s="1"/>
  <c r="A16" i="1"/>
  <c r="S15" i="1"/>
  <c r="H15" i="1"/>
  <c r="N15" i="1" s="1"/>
  <c r="F15" i="1"/>
  <c r="A15" i="1"/>
  <c r="S14" i="1"/>
  <c r="N14" i="1"/>
  <c r="F14" i="1"/>
  <c r="A14" i="1"/>
  <c r="S13" i="1"/>
  <c r="H13" i="1"/>
  <c r="N13" i="1" s="1"/>
  <c r="O13" i="1" s="1"/>
  <c r="F13" i="1"/>
  <c r="A13" i="1"/>
  <c r="S12" i="1"/>
  <c r="N12" i="1"/>
  <c r="F12" i="1"/>
  <c r="A12" i="1"/>
  <c r="S11" i="1"/>
  <c r="H11" i="1"/>
  <c r="N11" i="1" s="1"/>
  <c r="F11" i="1"/>
  <c r="A11" i="1"/>
  <c r="S10" i="1"/>
  <c r="N10" i="1"/>
  <c r="O10" i="1" s="1"/>
  <c r="H10" i="1"/>
  <c r="F10" i="1"/>
  <c r="A10" i="1"/>
  <c r="S9" i="1"/>
  <c r="H9" i="1"/>
  <c r="N9" i="1" s="1"/>
  <c r="F9" i="1"/>
  <c r="O9" i="1" s="1"/>
  <c r="A9" i="1"/>
  <c r="S8" i="1"/>
  <c r="N8" i="1"/>
  <c r="H8" i="1"/>
  <c r="F8" i="1"/>
  <c r="A8" i="1"/>
  <c r="S7" i="1"/>
  <c r="H7" i="1"/>
  <c r="N7" i="1" s="1"/>
  <c r="F7" i="1"/>
  <c r="A7" i="1"/>
  <c r="S6" i="1"/>
  <c r="H6" i="1"/>
  <c r="N6" i="1" s="1"/>
  <c r="O6" i="1" s="1"/>
  <c r="F6" i="1"/>
  <c r="A6" i="1"/>
  <c r="S5" i="1"/>
  <c r="H5" i="1"/>
  <c r="F5" i="1"/>
  <c r="A5" i="1"/>
  <c r="S4" i="1"/>
  <c r="N4" i="1"/>
  <c r="F4" i="1"/>
  <c r="A4" i="1"/>
  <c r="S3" i="1"/>
  <c r="H3" i="1"/>
  <c r="N3" i="1" s="1"/>
  <c r="F3" i="1"/>
  <c r="F33" i="1" s="1"/>
  <c r="A3" i="1"/>
  <c r="S2" i="1"/>
  <c r="S33" i="1" s="1"/>
  <c r="N2" i="1"/>
  <c r="F2" i="1"/>
  <c r="O2" i="1" s="1"/>
  <c r="A1" i="1"/>
  <c r="N33" i="1" l="1"/>
  <c r="O12" i="1"/>
  <c r="O14" i="1"/>
  <c r="J37" i="1"/>
  <c r="D35" i="1"/>
  <c r="H33" i="1"/>
  <c r="O11" i="1"/>
  <c r="O15" i="1"/>
  <c r="O26" i="1"/>
  <c r="J35" i="1"/>
  <c r="O3" i="1"/>
  <c r="C34" i="1"/>
  <c r="O8" i="1"/>
  <c r="O19" i="1"/>
  <c r="B35" i="1"/>
  <c r="O4" i="1"/>
  <c r="O21" i="1"/>
  <c r="O25" i="1"/>
  <c r="K41" i="1"/>
  <c r="O7" i="1"/>
  <c r="O18" i="1"/>
  <c r="O31" i="1"/>
  <c r="O32" i="1"/>
  <c r="E34" i="1"/>
  <c r="K37" i="1"/>
  <c r="L37" i="1"/>
  <c r="K34" i="1"/>
  <c r="N5" i="1"/>
  <c r="O5" i="1" s="1"/>
  <c r="L34" i="1"/>
  <c r="M34" i="1"/>
  <c r="O33" i="1" l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<sst xmlns="http://schemas.openxmlformats.org/spreadsheetml/2006/main" count="27" uniqueCount="27">
  <si>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</si>
  <si>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</si>
  <si>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</si>
  <si>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</si>
  <si>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</si>
  <si>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</si>
  <si>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</si>
  <si>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</si>
  <si>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</si>
  <si>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</si>
  <si>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</si>
  <si>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</si>
  <si>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</si>
  <si>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</si>
  <si>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</si>
  <si>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</si>
  <si>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</si>
  <si>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</si>
  <si>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</si>
  <si>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</si>
  <si>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</si>
  <si>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</si>
  <si>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</si>
  <si>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</si>
  <si>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</si>
  <si>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</t>
  </si>
  <si>
    <t>ActualCashPlusMinus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</si>
</sst>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7562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right"/>
    </xf>
    <xf numFmtId="164" fontId="5" fillId="3" borderId="7" xfId="0" applyNumberFormat="1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6" fillId="3" borderId="8" xfId="0" applyNumberFormat="1" applyFont="1" applyFill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0" fontId="6" fillId="2" borderId="10" xfId="0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76EB-D44D-4A89-AAA4-9AC9E372532A}">
  <dimension ref="A1:S42"/>
  <sheetViews>
    <sheetView tabSelected="1" workbookViewId="0">
      <selection activeCell="P1" sqref="P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0.5703125" bestFit="1" customWidth="1"/>
    <col min="4" max="4" width="9.85546875" bestFit="1" customWidth="1"/>
    <col min="6" max="6" width="10.85546875" bestFit="1" customWidth="1"/>
    <col min="7" max="7" width="9.85546875" bestFit="1" customWidth="1"/>
    <col min="8" max="8" width="10.85546875" bestFit="1" customWidth="1"/>
    <col min="10" max="10" width="9.85546875" bestFit="1" customWidth="1"/>
    <col min="12" max="12" width="9.85546875" bestFit="1" customWidth="1"/>
    <col min="14" max="14" width="10.85546875" bestFit="1" customWidth="1"/>
    <col min="19" max="19" width="10.570312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25</v>
      </c>
      <c r="Q1" s="3" t="s">
        <v>6</v>
      </c>
      <c r="R1" s="3" t="s">
        <v>7</v>
      </c>
      <c r="S1" s="6" t="s">
        <v>26</v>
      </c>
    </row>
    <row r="2" spans="1:19" x14ac:dyDescent="0.25">
      <c r="A2" s="7">
        <f>'[1]Cash Variance'!A3</f>
        <v>45839</v>
      </c>
      <c r="B2" s="8">
        <v>848.06</v>
      </c>
      <c r="C2" s="8">
        <v>53.01</v>
      </c>
      <c r="D2" s="9">
        <v>56.21</v>
      </c>
      <c r="E2" s="9">
        <v>0</v>
      </c>
      <c r="F2" s="10">
        <f>SUM(B2:E2)</f>
        <v>957.28</v>
      </c>
      <c r="G2" s="11">
        <v>185.23</v>
      </c>
      <c r="H2" s="9">
        <v>477.78</v>
      </c>
      <c r="I2" s="9">
        <v>25.56</v>
      </c>
      <c r="J2" s="9">
        <v>203.01</v>
      </c>
      <c r="K2" s="9">
        <v>23.09</v>
      </c>
      <c r="L2" s="9">
        <v>43.27</v>
      </c>
      <c r="M2" s="9">
        <v>0</v>
      </c>
      <c r="N2" s="12">
        <f t="shared" ref="N2:N32" si="0">SUM(G2:M2)</f>
        <v>957.93999999999994</v>
      </c>
      <c r="O2" s="13">
        <f t="shared" ref="O2:O32" si="1">+F2-N2</f>
        <v>-0.65999999999996817</v>
      </c>
      <c r="P2" s="9"/>
      <c r="Q2" s="14"/>
      <c r="R2" s="15"/>
      <c r="S2" s="16">
        <f t="shared" ref="S2:S32" si="2">P2-G2-R2</f>
        <v>-185.23</v>
      </c>
    </row>
    <row r="3" spans="1:19" x14ac:dyDescent="0.25">
      <c r="A3" s="7">
        <f>'[1]Cash Variance'!A4</f>
        <v>45840</v>
      </c>
      <c r="B3" s="8">
        <v>929.64</v>
      </c>
      <c r="C3" s="8">
        <v>78.03</v>
      </c>
      <c r="D3" s="9">
        <v>61.64</v>
      </c>
      <c r="E3" s="9">
        <v>0</v>
      </c>
      <c r="F3" s="10">
        <f t="shared" ref="F3:F32" si="3">SUM(B3:E3)</f>
        <v>1069.31</v>
      </c>
      <c r="G3" s="9">
        <v>179.92</v>
      </c>
      <c r="H3" s="9">
        <f>493.75-1.8</f>
        <v>491.95</v>
      </c>
      <c r="I3" s="9">
        <v>0</v>
      </c>
      <c r="J3" s="9">
        <v>253.39</v>
      </c>
      <c r="K3" s="9">
        <v>73.819999999999993</v>
      </c>
      <c r="L3" s="9">
        <v>70.23</v>
      </c>
      <c r="M3" s="9">
        <v>0</v>
      </c>
      <c r="N3" s="12">
        <f t="shared" si="0"/>
        <v>1069.31</v>
      </c>
      <c r="O3" s="13">
        <f t="shared" si="1"/>
        <v>0</v>
      </c>
      <c r="P3" s="9"/>
      <c r="Q3" s="14"/>
      <c r="R3" s="15"/>
      <c r="S3" s="16">
        <f t="shared" si="2"/>
        <v>-179.92</v>
      </c>
    </row>
    <row r="4" spans="1:19" x14ac:dyDescent="0.25">
      <c r="A4" s="7">
        <f>'[1]Cash Variance'!A5</f>
        <v>45841</v>
      </c>
      <c r="B4" s="8">
        <v>973.04</v>
      </c>
      <c r="C4" s="8">
        <v>24.11</v>
      </c>
      <c r="D4" s="9">
        <v>64.47</v>
      </c>
      <c r="E4" s="9">
        <v>0</v>
      </c>
      <c r="F4" s="10">
        <f t="shared" si="3"/>
        <v>1061.6199999999999</v>
      </c>
      <c r="G4" s="9">
        <v>132.12</v>
      </c>
      <c r="H4" s="9">
        <v>709.69</v>
      </c>
      <c r="I4" s="9">
        <v>0</v>
      </c>
      <c r="J4" s="9">
        <v>191.15</v>
      </c>
      <c r="K4" s="9">
        <v>18.27</v>
      </c>
      <c r="L4" s="9">
        <v>10.97</v>
      </c>
      <c r="M4" s="9">
        <v>0</v>
      </c>
      <c r="N4" s="12">
        <f t="shared" si="0"/>
        <v>1062.2</v>
      </c>
      <c r="O4" s="13">
        <f t="shared" si="1"/>
        <v>-0.58000000000015461</v>
      </c>
      <c r="P4" s="9"/>
      <c r="Q4" s="14"/>
      <c r="R4" s="15"/>
      <c r="S4" s="16">
        <f t="shared" si="2"/>
        <v>-132.12</v>
      </c>
    </row>
    <row r="5" spans="1:19" x14ac:dyDescent="0.25">
      <c r="A5" s="7">
        <f>'[1]Cash Variance'!A6</f>
        <v>45842</v>
      </c>
      <c r="B5" s="8">
        <v>1051.49</v>
      </c>
      <c r="C5" s="8">
        <v>166.19</v>
      </c>
      <c r="D5" s="9">
        <v>69.680000000000007</v>
      </c>
      <c r="E5" s="9">
        <v>0</v>
      </c>
      <c r="F5" s="10">
        <f t="shared" si="3"/>
        <v>1287.3600000000001</v>
      </c>
      <c r="G5" s="9">
        <v>168.54</v>
      </c>
      <c r="H5" s="9">
        <f>669.2-8.79</f>
        <v>660.41000000000008</v>
      </c>
      <c r="I5" s="9">
        <v>0</v>
      </c>
      <c r="J5" s="9">
        <v>274</v>
      </c>
      <c r="K5" s="9">
        <v>22.19</v>
      </c>
      <c r="L5" s="9">
        <v>162.22</v>
      </c>
      <c r="M5" s="9">
        <v>0</v>
      </c>
      <c r="N5" s="12">
        <f t="shared" si="0"/>
        <v>1287.3600000000001</v>
      </c>
      <c r="O5" s="13">
        <f t="shared" si="1"/>
        <v>0</v>
      </c>
      <c r="P5" s="9"/>
      <c r="Q5" s="14"/>
      <c r="R5" s="15"/>
      <c r="S5" s="16">
        <f t="shared" si="2"/>
        <v>-168.54</v>
      </c>
    </row>
    <row r="6" spans="1:19" x14ac:dyDescent="0.25">
      <c r="A6" s="7">
        <f>'[1]Cash Variance'!A7</f>
        <v>45843</v>
      </c>
      <c r="B6" s="8">
        <v>946.51</v>
      </c>
      <c r="C6" s="8">
        <v>144.38</v>
      </c>
      <c r="D6" s="9">
        <v>62.72</v>
      </c>
      <c r="E6" s="9">
        <v>0</v>
      </c>
      <c r="F6" s="10">
        <f t="shared" si="3"/>
        <v>1153.6099999999999</v>
      </c>
      <c r="G6" s="9">
        <v>235.76</v>
      </c>
      <c r="H6" s="9">
        <f>581.75-6.24</f>
        <v>575.51</v>
      </c>
      <c r="I6" s="9">
        <v>0</v>
      </c>
      <c r="J6" s="9">
        <v>178.46</v>
      </c>
      <c r="K6" s="9">
        <v>26.73</v>
      </c>
      <c r="L6" s="9">
        <v>137.15</v>
      </c>
      <c r="M6" s="9">
        <v>0</v>
      </c>
      <c r="N6" s="12">
        <f t="shared" si="0"/>
        <v>1153.6100000000001</v>
      </c>
      <c r="O6" s="13">
        <f t="shared" si="1"/>
        <v>0</v>
      </c>
      <c r="P6" s="9"/>
      <c r="Q6" s="14"/>
      <c r="R6" s="15"/>
      <c r="S6" s="16">
        <f t="shared" si="2"/>
        <v>-235.76</v>
      </c>
    </row>
    <row r="7" spans="1:19" x14ac:dyDescent="0.25">
      <c r="A7" s="7">
        <f>'[1]Cash Variance'!A8</f>
        <v>45844</v>
      </c>
      <c r="B7" s="8">
        <v>1061.75</v>
      </c>
      <c r="C7" s="8">
        <v>69.36</v>
      </c>
      <c r="D7" s="9">
        <v>70.37</v>
      </c>
      <c r="E7" s="9">
        <v>0</v>
      </c>
      <c r="F7" s="10">
        <f t="shared" si="3"/>
        <v>1201.48</v>
      </c>
      <c r="G7" s="9">
        <v>159.97</v>
      </c>
      <c r="H7" s="9">
        <f>693.1-2.78</f>
        <v>690.32</v>
      </c>
      <c r="I7" s="9">
        <v>0</v>
      </c>
      <c r="J7" s="9">
        <v>274.23</v>
      </c>
      <c r="K7" s="9">
        <v>22.9</v>
      </c>
      <c r="L7" s="9">
        <v>54.06</v>
      </c>
      <c r="M7" s="9">
        <v>0</v>
      </c>
      <c r="N7" s="12">
        <f t="shared" si="0"/>
        <v>1201.48</v>
      </c>
      <c r="O7" s="13">
        <f t="shared" si="1"/>
        <v>0</v>
      </c>
      <c r="P7" s="9"/>
      <c r="Q7" s="14"/>
      <c r="R7" s="15"/>
      <c r="S7" s="16">
        <f t="shared" si="2"/>
        <v>-159.97</v>
      </c>
    </row>
    <row r="8" spans="1:19" x14ac:dyDescent="0.25">
      <c r="A8" s="7">
        <f>'[1]Cash Variance'!A9</f>
        <v>45845</v>
      </c>
      <c r="B8" s="8">
        <v>1159.33</v>
      </c>
      <c r="C8" s="8">
        <v>121.62</v>
      </c>
      <c r="D8" s="9">
        <v>76.84</v>
      </c>
      <c r="E8" s="9">
        <v>0</v>
      </c>
      <c r="F8" s="10">
        <f t="shared" si="3"/>
        <v>1357.7899999999997</v>
      </c>
      <c r="G8" s="9">
        <v>204.01</v>
      </c>
      <c r="H8" s="9">
        <f>379.32-6.51</f>
        <v>372.81</v>
      </c>
      <c r="I8" s="9">
        <v>20.25</v>
      </c>
      <c r="J8" s="9">
        <v>657.2</v>
      </c>
      <c r="K8" s="9">
        <v>0</v>
      </c>
      <c r="L8" s="9">
        <v>103.52</v>
      </c>
      <c r="M8" s="9">
        <v>0</v>
      </c>
      <c r="N8" s="12">
        <f t="shared" si="0"/>
        <v>1357.79</v>
      </c>
      <c r="O8" s="13">
        <f t="shared" si="1"/>
        <v>0</v>
      </c>
      <c r="P8" s="9"/>
      <c r="Q8" s="14"/>
      <c r="R8" s="15"/>
      <c r="S8" s="16">
        <f t="shared" si="2"/>
        <v>-204.01</v>
      </c>
    </row>
    <row r="9" spans="1:19" x14ac:dyDescent="0.25">
      <c r="A9" s="7">
        <f>'[1]Cash Variance'!A10</f>
        <v>45846</v>
      </c>
      <c r="B9" s="8">
        <v>880.73</v>
      </c>
      <c r="C9" s="8">
        <v>156.75</v>
      </c>
      <c r="D9" s="17">
        <v>58.38</v>
      </c>
      <c r="E9" s="9">
        <v>0</v>
      </c>
      <c r="F9" s="10">
        <f t="shared" si="3"/>
        <v>1095.8600000000001</v>
      </c>
      <c r="G9" s="9">
        <v>175.87</v>
      </c>
      <c r="H9" s="9">
        <f>555.1-6.49</f>
        <v>548.61</v>
      </c>
      <c r="I9" s="9">
        <v>0</v>
      </c>
      <c r="J9" s="9">
        <v>221.6</v>
      </c>
      <c r="K9" s="9">
        <v>0</v>
      </c>
      <c r="L9" s="9">
        <v>149.78</v>
      </c>
      <c r="M9" s="9">
        <v>0</v>
      </c>
      <c r="N9" s="12">
        <f t="shared" si="0"/>
        <v>1095.8600000000001</v>
      </c>
      <c r="O9" s="13">
        <f t="shared" si="1"/>
        <v>0</v>
      </c>
      <c r="P9" s="18"/>
      <c r="Q9" s="14"/>
      <c r="R9" s="15"/>
      <c r="S9" s="16">
        <f t="shared" si="2"/>
        <v>-175.87</v>
      </c>
    </row>
    <row r="10" spans="1:19" x14ac:dyDescent="0.25">
      <c r="A10" s="7">
        <f>'[1]Cash Variance'!A11</f>
        <v>45847</v>
      </c>
      <c r="B10" s="8">
        <v>810.38</v>
      </c>
      <c r="C10" s="8">
        <v>67.239999999999995</v>
      </c>
      <c r="D10" s="17">
        <v>53.69</v>
      </c>
      <c r="E10" s="9">
        <v>0</v>
      </c>
      <c r="F10" s="10">
        <f t="shared" si="3"/>
        <v>931.31</v>
      </c>
      <c r="G10" s="9">
        <v>122.65</v>
      </c>
      <c r="H10" s="9">
        <f>517.23-2.25</f>
        <v>514.98</v>
      </c>
      <c r="I10" s="9">
        <v>0</v>
      </c>
      <c r="J10" s="9">
        <v>195.28</v>
      </c>
      <c r="K10" s="9">
        <v>37.979999999999997</v>
      </c>
      <c r="L10" s="9">
        <v>60.42</v>
      </c>
      <c r="M10" s="9">
        <v>0</v>
      </c>
      <c r="N10" s="12">
        <f t="shared" si="0"/>
        <v>931.31</v>
      </c>
      <c r="O10" s="13">
        <f t="shared" si="1"/>
        <v>0</v>
      </c>
      <c r="P10" s="18"/>
      <c r="Q10" s="14"/>
      <c r="R10" s="15"/>
      <c r="S10" s="16">
        <f t="shared" si="2"/>
        <v>-122.65</v>
      </c>
    </row>
    <row r="11" spans="1:19" x14ac:dyDescent="0.25">
      <c r="A11" s="7">
        <f>'[1]Cash Variance'!A12</f>
        <v>45848</v>
      </c>
      <c r="B11" s="8">
        <v>954.14</v>
      </c>
      <c r="C11" s="8">
        <v>47.51</v>
      </c>
      <c r="D11" s="9">
        <v>63.23</v>
      </c>
      <c r="E11" s="9">
        <v>0</v>
      </c>
      <c r="F11" s="10">
        <f t="shared" si="3"/>
        <v>1064.8799999999999</v>
      </c>
      <c r="G11" s="9">
        <v>110.88</v>
      </c>
      <c r="H11" s="9">
        <f>629.95-2.5</f>
        <v>627.45000000000005</v>
      </c>
      <c r="I11" s="9">
        <v>47.92</v>
      </c>
      <c r="J11" s="9">
        <v>210.84</v>
      </c>
      <c r="K11" s="9">
        <v>22.27</v>
      </c>
      <c r="L11" s="9">
        <v>45.52</v>
      </c>
      <c r="M11" s="9">
        <v>0</v>
      </c>
      <c r="N11" s="12">
        <f t="shared" si="0"/>
        <v>1064.8800000000001</v>
      </c>
      <c r="O11" s="13">
        <f t="shared" si="1"/>
        <v>0</v>
      </c>
      <c r="P11" s="18"/>
      <c r="Q11" s="14"/>
      <c r="R11" s="15"/>
      <c r="S11" s="16">
        <f t="shared" si="2"/>
        <v>-110.88</v>
      </c>
    </row>
    <row r="12" spans="1:19" x14ac:dyDescent="0.25">
      <c r="A12" s="7">
        <f>'[1]Cash Variance'!A13</f>
        <v>45849</v>
      </c>
      <c r="B12" s="8">
        <v>1111.46</v>
      </c>
      <c r="C12" s="8">
        <v>9.8800000000000008</v>
      </c>
      <c r="D12" s="9">
        <v>73.61</v>
      </c>
      <c r="E12" s="9">
        <v>0</v>
      </c>
      <c r="F12" s="10">
        <f t="shared" si="3"/>
        <v>1194.95</v>
      </c>
      <c r="G12" s="9">
        <v>104.34</v>
      </c>
      <c r="H12" s="9">
        <v>781.36</v>
      </c>
      <c r="I12" s="9">
        <v>9.0500000000000007</v>
      </c>
      <c r="J12" s="9">
        <v>300.82</v>
      </c>
      <c r="K12" s="9">
        <v>0</v>
      </c>
      <c r="L12" s="9">
        <v>0</v>
      </c>
      <c r="M12" s="9">
        <v>0</v>
      </c>
      <c r="N12" s="12">
        <f t="shared" si="0"/>
        <v>1195.57</v>
      </c>
      <c r="O12" s="13">
        <f t="shared" si="1"/>
        <v>-0.61999999999989086</v>
      </c>
      <c r="P12" s="9"/>
      <c r="Q12" s="14"/>
      <c r="R12" s="15"/>
      <c r="S12" s="16">
        <f t="shared" si="2"/>
        <v>-104.34</v>
      </c>
    </row>
    <row r="13" spans="1:19" x14ac:dyDescent="0.25">
      <c r="A13" s="7">
        <f>'[1]Cash Variance'!A14</f>
        <v>45850</v>
      </c>
      <c r="B13" s="8">
        <v>907.59</v>
      </c>
      <c r="C13" s="8">
        <v>49.47</v>
      </c>
      <c r="D13" s="9">
        <v>60.15</v>
      </c>
      <c r="E13" s="9">
        <v>0</v>
      </c>
      <c r="F13" s="10">
        <f t="shared" si="3"/>
        <v>1017.21</v>
      </c>
      <c r="G13" s="9">
        <v>125.44</v>
      </c>
      <c r="H13" s="9">
        <f>659.47-6.14</f>
        <v>653.33000000000004</v>
      </c>
      <c r="I13" s="9">
        <v>0</v>
      </c>
      <c r="J13" s="9">
        <v>168.83</v>
      </c>
      <c r="K13" s="9">
        <v>14</v>
      </c>
      <c r="L13" s="9">
        <v>55.61</v>
      </c>
      <c r="M13" s="9">
        <v>0</v>
      </c>
      <c r="N13" s="12">
        <f t="shared" si="0"/>
        <v>1017.21</v>
      </c>
      <c r="O13" s="13">
        <f t="shared" si="1"/>
        <v>0</v>
      </c>
      <c r="P13" s="9"/>
      <c r="Q13" s="14"/>
      <c r="R13" s="15"/>
      <c r="S13" s="16">
        <f t="shared" si="2"/>
        <v>-125.44</v>
      </c>
    </row>
    <row r="14" spans="1:19" x14ac:dyDescent="0.25">
      <c r="A14" s="7">
        <f>'[1]Cash Variance'!A15</f>
        <v>45851</v>
      </c>
      <c r="B14" s="8">
        <v>864.14</v>
      </c>
      <c r="C14" s="8">
        <v>40.72</v>
      </c>
      <c r="D14" s="9">
        <v>57.29</v>
      </c>
      <c r="E14" s="9">
        <v>0</v>
      </c>
      <c r="F14" s="10">
        <f t="shared" si="3"/>
        <v>962.15</v>
      </c>
      <c r="G14" s="9">
        <v>183.3</v>
      </c>
      <c r="H14" s="9">
        <v>632.29999999999995</v>
      </c>
      <c r="I14" s="9">
        <v>12.24</v>
      </c>
      <c r="J14" s="9">
        <v>85.46</v>
      </c>
      <c r="K14" s="9">
        <v>12.73</v>
      </c>
      <c r="L14" s="9">
        <v>36.39</v>
      </c>
      <c r="M14" s="9">
        <v>0</v>
      </c>
      <c r="N14" s="12">
        <f t="shared" si="0"/>
        <v>962.42</v>
      </c>
      <c r="O14" s="13">
        <f t="shared" si="1"/>
        <v>-0.26999999999998181</v>
      </c>
      <c r="P14" s="9"/>
      <c r="Q14" s="14"/>
      <c r="R14" s="15"/>
      <c r="S14" s="16">
        <f t="shared" si="2"/>
        <v>-183.3</v>
      </c>
    </row>
    <row r="15" spans="1:19" x14ac:dyDescent="0.25">
      <c r="A15" s="7">
        <f>'[1]Cash Variance'!A16</f>
        <v>45852</v>
      </c>
      <c r="B15" s="8">
        <v>1021.15</v>
      </c>
      <c r="C15" s="8">
        <v>115.71</v>
      </c>
      <c r="D15" s="11">
        <v>67.73</v>
      </c>
      <c r="E15" s="9">
        <v>0</v>
      </c>
      <c r="F15" s="10">
        <f t="shared" si="3"/>
        <v>1204.5899999999999</v>
      </c>
      <c r="G15" s="9">
        <v>327.42</v>
      </c>
      <c r="H15" s="9">
        <f>492.75-2.5</f>
        <v>490.25</v>
      </c>
      <c r="I15" s="9">
        <v>14.91</v>
      </c>
      <c r="J15" s="9">
        <v>258.29000000000002</v>
      </c>
      <c r="K15" s="9">
        <v>0</v>
      </c>
      <c r="L15" s="9">
        <v>113.72</v>
      </c>
      <c r="M15" s="9">
        <v>0</v>
      </c>
      <c r="N15" s="12">
        <f t="shared" si="0"/>
        <v>1204.5900000000001</v>
      </c>
      <c r="O15" s="13">
        <f t="shared" si="1"/>
        <v>0</v>
      </c>
      <c r="P15" s="9"/>
      <c r="Q15" s="14"/>
      <c r="R15" s="15"/>
      <c r="S15" s="16">
        <f t="shared" si="2"/>
        <v>-327.42</v>
      </c>
    </row>
    <row r="16" spans="1:19" x14ac:dyDescent="0.25">
      <c r="A16" s="7">
        <f>'[1]Cash Variance'!A17</f>
        <v>45853</v>
      </c>
      <c r="B16" s="8">
        <v>899.04</v>
      </c>
      <c r="C16" s="8">
        <v>155.80000000000001</v>
      </c>
      <c r="D16" s="11">
        <v>59.64</v>
      </c>
      <c r="E16" s="11">
        <v>0</v>
      </c>
      <c r="F16" s="10">
        <f t="shared" si="3"/>
        <v>1114.48</v>
      </c>
      <c r="G16" s="11">
        <v>151.09</v>
      </c>
      <c r="H16" s="11">
        <f>654.68-7.5</f>
        <v>647.17999999999995</v>
      </c>
      <c r="I16" s="11">
        <v>0</v>
      </c>
      <c r="J16" s="11">
        <v>148.24</v>
      </c>
      <c r="K16" s="11">
        <v>17.75</v>
      </c>
      <c r="L16" s="11">
        <v>150.22</v>
      </c>
      <c r="M16" s="9">
        <v>0</v>
      </c>
      <c r="N16" s="12">
        <f t="shared" si="0"/>
        <v>1114.48</v>
      </c>
      <c r="O16" s="13">
        <f t="shared" si="1"/>
        <v>0</v>
      </c>
      <c r="P16" s="9"/>
      <c r="Q16" s="14"/>
      <c r="R16" s="15"/>
      <c r="S16" s="16">
        <f t="shared" si="2"/>
        <v>-151.09</v>
      </c>
    </row>
    <row r="17" spans="1:19" x14ac:dyDescent="0.25">
      <c r="A17" s="7">
        <f>'[1]Cash Variance'!A18</f>
        <v>45854</v>
      </c>
      <c r="B17" s="8">
        <v>867.85</v>
      </c>
      <c r="C17" s="8">
        <v>22.3</v>
      </c>
      <c r="D17" s="11">
        <v>57.51</v>
      </c>
      <c r="E17" s="11">
        <v>0</v>
      </c>
      <c r="F17" s="10">
        <f t="shared" si="3"/>
        <v>947.66</v>
      </c>
      <c r="G17" s="11">
        <v>108.62</v>
      </c>
      <c r="H17" s="11">
        <f>461.23-2.5</f>
        <v>458.73</v>
      </c>
      <c r="I17" s="11">
        <v>0</v>
      </c>
      <c r="J17" s="11">
        <v>338</v>
      </c>
      <c r="K17" s="11">
        <v>17.510000000000002</v>
      </c>
      <c r="L17" s="11">
        <v>24.8</v>
      </c>
      <c r="M17" s="9">
        <v>0</v>
      </c>
      <c r="N17" s="12">
        <f t="shared" si="0"/>
        <v>947.66</v>
      </c>
      <c r="O17" s="13">
        <f t="shared" si="1"/>
        <v>0</v>
      </c>
      <c r="P17" s="9"/>
      <c r="Q17" s="14"/>
      <c r="R17" s="15"/>
      <c r="S17" s="16">
        <f t="shared" si="2"/>
        <v>-108.62</v>
      </c>
    </row>
    <row r="18" spans="1:19" x14ac:dyDescent="0.25">
      <c r="A18" s="7">
        <f>'[1]Cash Variance'!A19</f>
        <v>45855</v>
      </c>
      <c r="B18" s="8">
        <v>1024.8399999999999</v>
      </c>
      <c r="C18" s="8">
        <v>65.83</v>
      </c>
      <c r="D18" s="11">
        <v>67.89</v>
      </c>
      <c r="E18" s="11">
        <v>0</v>
      </c>
      <c r="F18" s="10">
        <f t="shared" si="3"/>
        <v>1158.56</v>
      </c>
      <c r="G18" s="11">
        <v>190.38</v>
      </c>
      <c r="H18" s="11">
        <f>697.63-7</f>
        <v>690.63</v>
      </c>
      <c r="I18" s="11">
        <v>3.72</v>
      </c>
      <c r="J18" s="11">
        <v>201</v>
      </c>
      <c r="K18" s="11">
        <v>0</v>
      </c>
      <c r="L18" s="11">
        <v>72.83</v>
      </c>
      <c r="M18" s="9">
        <v>0</v>
      </c>
      <c r="N18" s="12">
        <f t="shared" si="0"/>
        <v>1158.56</v>
      </c>
      <c r="O18" s="13">
        <f t="shared" si="1"/>
        <v>0</v>
      </c>
      <c r="P18" s="9"/>
      <c r="Q18" s="14"/>
      <c r="R18" s="15"/>
      <c r="S18" s="16">
        <f t="shared" si="2"/>
        <v>-190.38</v>
      </c>
    </row>
    <row r="19" spans="1:19" x14ac:dyDescent="0.25">
      <c r="A19" s="7">
        <f>'[1]Cash Variance'!A20</f>
        <v>45856</v>
      </c>
      <c r="B19" s="8">
        <v>1136.0899999999999</v>
      </c>
      <c r="C19" s="8">
        <v>67.45</v>
      </c>
      <c r="D19" s="9">
        <v>75.33</v>
      </c>
      <c r="E19" s="9">
        <v>0</v>
      </c>
      <c r="F19" s="10">
        <f t="shared" si="3"/>
        <v>1278.8699999999999</v>
      </c>
      <c r="G19" s="9">
        <v>318.36</v>
      </c>
      <c r="H19" s="9">
        <f>644.36-9</f>
        <v>635.36</v>
      </c>
      <c r="I19" s="9">
        <v>0</v>
      </c>
      <c r="J19" s="9">
        <v>233.98</v>
      </c>
      <c r="K19" s="9">
        <v>20.61</v>
      </c>
      <c r="L19" s="9">
        <v>70.56</v>
      </c>
      <c r="M19" s="9">
        <v>0</v>
      </c>
      <c r="N19" s="12">
        <f t="shared" si="0"/>
        <v>1278.8699999999999</v>
      </c>
      <c r="O19" s="13">
        <f t="shared" si="1"/>
        <v>0</v>
      </c>
      <c r="P19" s="18"/>
      <c r="Q19" s="14"/>
      <c r="R19" s="15"/>
      <c r="S19" s="16">
        <f t="shared" si="2"/>
        <v>-318.36</v>
      </c>
    </row>
    <row r="20" spans="1:19" x14ac:dyDescent="0.25">
      <c r="A20" s="7">
        <f>'[1]Cash Variance'!A21</f>
        <v>45857</v>
      </c>
      <c r="B20" s="8">
        <v>840.71</v>
      </c>
      <c r="C20" s="8">
        <v>69.67</v>
      </c>
      <c r="D20" s="9">
        <v>55.73</v>
      </c>
      <c r="E20" s="9">
        <v>0</v>
      </c>
      <c r="F20" s="10">
        <f t="shared" si="3"/>
        <v>966.11</v>
      </c>
      <c r="G20" s="9">
        <v>215.78</v>
      </c>
      <c r="H20" s="9">
        <v>591.41</v>
      </c>
      <c r="I20" s="9">
        <v>0</v>
      </c>
      <c r="J20" s="9">
        <v>107.98</v>
      </c>
      <c r="K20" s="9">
        <v>0</v>
      </c>
      <c r="L20" s="9">
        <v>51.79</v>
      </c>
      <c r="M20" s="9">
        <v>0</v>
      </c>
      <c r="N20" s="12">
        <f t="shared" si="0"/>
        <v>966.95999999999992</v>
      </c>
      <c r="O20" s="13">
        <f t="shared" si="1"/>
        <v>-0.84999999999990905</v>
      </c>
      <c r="P20" s="18"/>
      <c r="Q20" s="14"/>
      <c r="R20" s="15"/>
      <c r="S20" s="16">
        <f t="shared" si="2"/>
        <v>-215.78</v>
      </c>
    </row>
    <row r="21" spans="1:19" x14ac:dyDescent="0.25">
      <c r="A21" s="7">
        <f>'[1]Cash Variance'!A22</f>
        <v>45858</v>
      </c>
      <c r="B21" s="8">
        <v>878.09</v>
      </c>
      <c r="C21" s="8">
        <v>17.899999999999999</v>
      </c>
      <c r="D21" s="9">
        <v>58.16</v>
      </c>
      <c r="E21" s="9">
        <v>0</v>
      </c>
      <c r="F21" s="10">
        <f t="shared" si="3"/>
        <v>954.15</v>
      </c>
      <c r="G21" s="9">
        <v>182.58</v>
      </c>
      <c r="H21" s="9">
        <v>451.01</v>
      </c>
      <c r="I21" s="9">
        <v>0</v>
      </c>
      <c r="J21" s="9">
        <v>320.83</v>
      </c>
      <c r="K21" s="9">
        <v>0</v>
      </c>
      <c r="L21" s="9">
        <v>0</v>
      </c>
      <c r="M21" s="9">
        <v>0</v>
      </c>
      <c r="N21" s="12">
        <f t="shared" si="0"/>
        <v>954.42000000000007</v>
      </c>
      <c r="O21" s="13">
        <f t="shared" si="1"/>
        <v>-0.2700000000000955</v>
      </c>
      <c r="P21" s="9"/>
      <c r="Q21" s="14"/>
      <c r="R21" s="15"/>
      <c r="S21" s="16">
        <f t="shared" si="2"/>
        <v>-182.58</v>
      </c>
    </row>
    <row r="22" spans="1:19" x14ac:dyDescent="0.25">
      <c r="A22" s="7">
        <f>'[1]Cash Variance'!A23</f>
        <v>45859</v>
      </c>
      <c r="B22" s="8">
        <v>955.1</v>
      </c>
      <c r="C22" s="8">
        <v>138.41</v>
      </c>
      <c r="D22" s="9">
        <v>63.32</v>
      </c>
      <c r="E22" s="11">
        <v>0</v>
      </c>
      <c r="F22" s="10">
        <f t="shared" si="3"/>
        <v>1156.83</v>
      </c>
      <c r="G22" s="9">
        <v>77.48</v>
      </c>
      <c r="H22" s="9">
        <v>524.41</v>
      </c>
      <c r="I22" s="9">
        <v>0</v>
      </c>
      <c r="J22" s="9">
        <v>363.13</v>
      </c>
      <c r="K22" s="9">
        <v>62.37</v>
      </c>
      <c r="L22" s="9">
        <v>129.43</v>
      </c>
      <c r="M22" s="9">
        <v>0</v>
      </c>
      <c r="N22" s="12">
        <f t="shared" si="0"/>
        <v>1156.82</v>
      </c>
      <c r="O22" s="13">
        <f t="shared" si="1"/>
        <v>9.9999999999909051E-3</v>
      </c>
      <c r="P22" s="18"/>
      <c r="Q22" s="14"/>
      <c r="R22" s="19"/>
      <c r="S22" s="16">
        <f t="shared" si="2"/>
        <v>-77.48</v>
      </c>
    </row>
    <row r="23" spans="1:19" x14ac:dyDescent="0.25">
      <c r="A23" s="7">
        <f>'[1]Cash Variance'!A24</f>
        <v>45860</v>
      </c>
      <c r="B23" s="8">
        <v>891.96</v>
      </c>
      <c r="C23" s="8">
        <v>77.290000000000006</v>
      </c>
      <c r="D23" s="9">
        <v>59.18</v>
      </c>
      <c r="E23" s="11">
        <v>0</v>
      </c>
      <c r="F23" s="10">
        <f t="shared" si="3"/>
        <v>1028.43</v>
      </c>
      <c r="G23" s="9">
        <v>145.63</v>
      </c>
      <c r="H23" s="9">
        <v>617.41999999999996</v>
      </c>
      <c r="I23" s="9">
        <v>0</v>
      </c>
      <c r="J23" s="9">
        <v>168.59</v>
      </c>
      <c r="K23" s="9">
        <v>33.18</v>
      </c>
      <c r="L23" s="9">
        <v>64.59</v>
      </c>
      <c r="M23" s="9">
        <v>0</v>
      </c>
      <c r="N23" s="12">
        <f t="shared" si="0"/>
        <v>1029.4099999999999</v>
      </c>
      <c r="O23" s="13">
        <f t="shared" si="1"/>
        <v>-0.97999999999979082</v>
      </c>
      <c r="P23" s="18"/>
      <c r="Q23" s="14"/>
      <c r="R23" s="15"/>
      <c r="S23" s="16">
        <f t="shared" si="2"/>
        <v>-145.63</v>
      </c>
    </row>
    <row r="24" spans="1:19" x14ac:dyDescent="0.25">
      <c r="A24" s="7">
        <f>'[1]Cash Variance'!A25</f>
        <v>45861</v>
      </c>
      <c r="B24" s="8">
        <v>793.64</v>
      </c>
      <c r="C24" s="8">
        <v>41.84</v>
      </c>
      <c r="D24" s="9">
        <v>52.62</v>
      </c>
      <c r="E24" s="9">
        <v>0</v>
      </c>
      <c r="F24" s="10">
        <f t="shared" si="3"/>
        <v>888.1</v>
      </c>
      <c r="G24" s="9">
        <v>100.99</v>
      </c>
      <c r="H24" s="9">
        <v>524.4</v>
      </c>
      <c r="I24" s="9">
        <v>15.44</v>
      </c>
      <c r="J24" s="9">
        <v>195.65</v>
      </c>
      <c r="K24" s="9">
        <v>14</v>
      </c>
      <c r="L24" s="9">
        <v>39</v>
      </c>
      <c r="M24" s="9">
        <v>0</v>
      </c>
      <c r="N24" s="12">
        <f t="shared" si="0"/>
        <v>889.48</v>
      </c>
      <c r="O24" s="13">
        <f t="shared" si="1"/>
        <v>-1.3799999999999955</v>
      </c>
      <c r="P24" s="9"/>
      <c r="Q24" s="14"/>
      <c r="R24" s="15"/>
      <c r="S24" s="16">
        <f t="shared" si="2"/>
        <v>-100.99</v>
      </c>
    </row>
    <row r="25" spans="1:19" x14ac:dyDescent="0.25">
      <c r="A25" s="7">
        <f>'[1]Cash Variance'!A26</f>
        <v>45862</v>
      </c>
      <c r="B25" s="8">
        <v>737.65</v>
      </c>
      <c r="C25" s="8">
        <v>0</v>
      </c>
      <c r="D25" s="9">
        <v>48.88</v>
      </c>
      <c r="E25" s="9">
        <v>0</v>
      </c>
      <c r="F25" s="10">
        <f t="shared" si="3"/>
        <v>786.53</v>
      </c>
      <c r="G25" s="9">
        <v>50.4</v>
      </c>
      <c r="H25" s="9">
        <f>449.59-1.6</f>
        <v>447.98999999999995</v>
      </c>
      <c r="I25" s="9">
        <v>0</v>
      </c>
      <c r="J25" s="9">
        <v>266.52</v>
      </c>
      <c r="K25" s="9">
        <v>21.62</v>
      </c>
      <c r="L25" s="9">
        <v>0</v>
      </c>
      <c r="M25" s="9">
        <v>0</v>
      </c>
      <c r="N25" s="12">
        <f t="shared" si="0"/>
        <v>786.52999999999986</v>
      </c>
      <c r="O25" s="13">
        <f t="shared" si="1"/>
        <v>0</v>
      </c>
      <c r="P25" s="18"/>
      <c r="Q25" s="14"/>
      <c r="R25" s="15"/>
      <c r="S25" s="16">
        <f t="shared" si="2"/>
        <v>-50.4</v>
      </c>
    </row>
    <row r="26" spans="1:19" x14ac:dyDescent="0.25">
      <c r="A26" s="7">
        <f>'[1]Cash Variance'!A27</f>
        <v>45863</v>
      </c>
      <c r="B26" s="8">
        <v>1389.89</v>
      </c>
      <c r="C26" s="8">
        <v>11.59</v>
      </c>
      <c r="D26" s="9">
        <v>92.05</v>
      </c>
      <c r="E26" s="9">
        <v>0</v>
      </c>
      <c r="F26" s="10">
        <f t="shared" si="3"/>
        <v>1493.53</v>
      </c>
      <c r="G26" s="9">
        <v>179.01</v>
      </c>
      <c r="H26" s="9">
        <f>1021.25-1.86</f>
        <v>1019.39</v>
      </c>
      <c r="I26" s="9">
        <v>0</v>
      </c>
      <c r="J26" s="9">
        <v>248.05</v>
      </c>
      <c r="K26" s="9">
        <v>47.08</v>
      </c>
      <c r="L26" s="9">
        <v>0</v>
      </c>
      <c r="M26" s="9">
        <v>0</v>
      </c>
      <c r="N26" s="12">
        <f t="shared" si="0"/>
        <v>1493.53</v>
      </c>
      <c r="O26" s="13">
        <f t="shared" si="1"/>
        <v>0</v>
      </c>
      <c r="P26" s="9"/>
      <c r="Q26" s="14"/>
      <c r="R26" s="15"/>
      <c r="S26" s="16">
        <f t="shared" si="2"/>
        <v>-179.01</v>
      </c>
    </row>
    <row r="27" spans="1:19" x14ac:dyDescent="0.25">
      <c r="A27" s="7">
        <f>'[1]Cash Variance'!A28</f>
        <v>45864</v>
      </c>
      <c r="B27" s="8">
        <v>1371.19</v>
      </c>
      <c r="C27" s="8">
        <v>160.41</v>
      </c>
      <c r="D27" s="9">
        <v>90.88</v>
      </c>
      <c r="E27" s="9">
        <v>0</v>
      </c>
      <c r="F27" s="10">
        <f t="shared" si="3"/>
        <v>1622.48</v>
      </c>
      <c r="G27" s="9">
        <v>207.55</v>
      </c>
      <c r="H27" s="9">
        <f>982.6-2.28</f>
        <v>980.32</v>
      </c>
      <c r="I27" s="9">
        <v>0</v>
      </c>
      <c r="J27" s="9">
        <v>290.98</v>
      </c>
      <c r="K27" s="9">
        <v>0</v>
      </c>
      <c r="L27" s="9">
        <v>143.63</v>
      </c>
      <c r="M27" s="9">
        <v>0</v>
      </c>
      <c r="N27" s="12">
        <f t="shared" si="0"/>
        <v>1622.48</v>
      </c>
      <c r="O27" s="13">
        <f t="shared" si="1"/>
        <v>0</v>
      </c>
      <c r="P27" s="9"/>
      <c r="Q27" s="14"/>
      <c r="R27" s="15"/>
      <c r="S27" s="16">
        <f t="shared" si="2"/>
        <v>-207.55</v>
      </c>
    </row>
    <row r="28" spans="1:19" x14ac:dyDescent="0.25">
      <c r="A28" s="7">
        <f>'[1]Cash Variance'!A29</f>
        <v>45865</v>
      </c>
      <c r="B28" s="8">
        <v>1171.3399999999999</v>
      </c>
      <c r="C28" s="8">
        <v>29.8</v>
      </c>
      <c r="D28" s="9">
        <v>77.680000000000007</v>
      </c>
      <c r="E28" s="9">
        <v>0</v>
      </c>
      <c r="F28" s="10">
        <f t="shared" si="3"/>
        <v>1278.82</v>
      </c>
      <c r="G28" s="9">
        <v>193.01</v>
      </c>
      <c r="H28" s="9">
        <f>660.4-1.77</f>
        <v>658.63</v>
      </c>
      <c r="I28" s="9">
        <v>0</v>
      </c>
      <c r="J28" s="9">
        <v>311.32</v>
      </c>
      <c r="K28" s="9">
        <v>100.2</v>
      </c>
      <c r="L28" s="9">
        <v>15.66</v>
      </c>
      <c r="M28" s="9">
        <v>0</v>
      </c>
      <c r="N28" s="12">
        <f t="shared" si="0"/>
        <v>1278.8200000000002</v>
      </c>
      <c r="O28" s="13">
        <f t="shared" si="1"/>
        <v>0</v>
      </c>
      <c r="P28" s="9"/>
      <c r="Q28" s="14"/>
      <c r="R28" s="20"/>
      <c r="S28" s="16">
        <f t="shared" si="2"/>
        <v>-193.01</v>
      </c>
    </row>
    <row r="29" spans="1:19" x14ac:dyDescent="0.25">
      <c r="A29" s="7">
        <f>'[1]Cash Variance'!A30</f>
        <v>45866</v>
      </c>
      <c r="B29" s="8">
        <v>833.48</v>
      </c>
      <c r="C29" s="8">
        <v>40.51</v>
      </c>
      <c r="D29" s="9">
        <v>55.25</v>
      </c>
      <c r="E29" s="9">
        <v>0</v>
      </c>
      <c r="F29" s="10">
        <f t="shared" si="3"/>
        <v>929.24</v>
      </c>
      <c r="G29" s="9">
        <v>145.52000000000001</v>
      </c>
      <c r="H29" s="9">
        <v>485.84</v>
      </c>
      <c r="I29" s="9">
        <v>0</v>
      </c>
      <c r="J29" s="9">
        <v>266.45</v>
      </c>
      <c r="K29" s="9">
        <v>0</v>
      </c>
      <c r="L29" s="9">
        <v>31.69</v>
      </c>
      <c r="M29" s="9">
        <v>0</v>
      </c>
      <c r="N29" s="12">
        <f t="shared" si="0"/>
        <v>929.5</v>
      </c>
      <c r="O29" s="13">
        <f t="shared" si="1"/>
        <v>-0.25999999999999091</v>
      </c>
      <c r="P29" s="9"/>
      <c r="Q29" s="14"/>
      <c r="R29" s="20"/>
      <c r="S29" s="16">
        <f t="shared" si="2"/>
        <v>-145.52000000000001</v>
      </c>
    </row>
    <row r="30" spans="1:19" x14ac:dyDescent="0.25">
      <c r="A30" s="7">
        <f>'[1]Cash Variance'!A31</f>
        <v>45867</v>
      </c>
      <c r="B30" s="8">
        <v>1047.8499999999999</v>
      </c>
      <c r="C30" s="8">
        <v>53.36</v>
      </c>
      <c r="D30" s="9">
        <v>69.45</v>
      </c>
      <c r="E30" s="9">
        <v>0</v>
      </c>
      <c r="F30" s="10">
        <f t="shared" si="3"/>
        <v>1170.6599999999999</v>
      </c>
      <c r="G30" s="9">
        <v>240.47</v>
      </c>
      <c r="H30" s="9">
        <v>668.95</v>
      </c>
      <c r="I30" s="9">
        <v>0</v>
      </c>
      <c r="J30" s="9">
        <v>211.42</v>
      </c>
      <c r="K30" s="9">
        <v>10.19</v>
      </c>
      <c r="L30" s="9">
        <v>40.21</v>
      </c>
      <c r="M30" s="9">
        <v>0</v>
      </c>
      <c r="N30" s="12">
        <f t="shared" si="0"/>
        <v>1171.2400000000002</v>
      </c>
      <c r="O30" s="13">
        <f t="shared" si="1"/>
        <v>-0.58000000000038199</v>
      </c>
      <c r="P30" s="18"/>
      <c r="Q30" s="14"/>
      <c r="R30" s="15"/>
      <c r="S30" s="16">
        <f t="shared" si="2"/>
        <v>-240.47</v>
      </c>
    </row>
    <row r="31" spans="1:19" x14ac:dyDescent="0.25">
      <c r="A31" s="7">
        <f>'[1]Cash Variance'!A32</f>
        <v>45868</v>
      </c>
      <c r="B31" s="8">
        <v>861.14</v>
      </c>
      <c r="C31" s="8">
        <v>90.4</v>
      </c>
      <c r="D31" s="9">
        <v>57.07</v>
      </c>
      <c r="E31" s="9">
        <v>0</v>
      </c>
      <c r="F31" s="10">
        <f t="shared" si="3"/>
        <v>1008.61</v>
      </c>
      <c r="G31" s="9">
        <v>136.74</v>
      </c>
      <c r="H31" s="9">
        <f>523.17-2.49</f>
        <v>520.67999999999995</v>
      </c>
      <c r="I31" s="9">
        <v>0</v>
      </c>
      <c r="J31" s="9">
        <v>242.41</v>
      </c>
      <c r="K31" s="9">
        <v>20.37</v>
      </c>
      <c r="L31" s="9">
        <v>88.41</v>
      </c>
      <c r="M31" s="9">
        <v>0</v>
      </c>
      <c r="N31" s="12">
        <f t="shared" si="0"/>
        <v>1008.6099999999999</v>
      </c>
      <c r="O31" s="13">
        <f t="shared" si="1"/>
        <v>0</v>
      </c>
      <c r="P31" s="9"/>
      <c r="Q31" s="14"/>
      <c r="R31" s="15"/>
      <c r="S31" s="16">
        <f t="shared" si="2"/>
        <v>-136.74</v>
      </c>
    </row>
    <row r="32" spans="1:19" ht="15.75" thickBot="1" x14ac:dyDescent="0.3">
      <c r="A32" s="7">
        <f>'[1]Cash Variance'!A33</f>
        <v>45869</v>
      </c>
      <c r="B32" s="8">
        <v>1242.7</v>
      </c>
      <c r="C32" s="8">
        <v>219.73</v>
      </c>
      <c r="D32" s="9">
        <v>82.4</v>
      </c>
      <c r="E32" s="9">
        <v>0</v>
      </c>
      <c r="F32" s="10">
        <f t="shared" si="3"/>
        <v>1544.8300000000002</v>
      </c>
      <c r="G32" s="9">
        <v>163.19999999999999</v>
      </c>
      <c r="H32" s="9">
        <f>722.82-15.32</f>
        <v>707.5</v>
      </c>
      <c r="I32" s="9">
        <v>16.21</v>
      </c>
      <c r="J32" s="9">
        <v>446.14</v>
      </c>
      <c r="K32" s="9">
        <v>0</v>
      </c>
      <c r="L32" s="9">
        <v>211.78</v>
      </c>
      <c r="M32" s="9">
        <v>0</v>
      </c>
      <c r="N32" s="12">
        <f t="shared" si="0"/>
        <v>1544.8300000000002</v>
      </c>
      <c r="O32" s="13">
        <f t="shared" si="1"/>
        <v>0</v>
      </c>
      <c r="P32" s="9"/>
      <c r="Q32" s="14"/>
      <c r="R32" s="15"/>
      <c r="S32" s="16">
        <f t="shared" si="2"/>
        <v>-163.19999999999999</v>
      </c>
    </row>
    <row r="33" spans="1:19" ht="15.75" thickBot="1" x14ac:dyDescent="0.3">
      <c r="A33" s="21" t="s">
        <v>8</v>
      </c>
      <c r="B33" s="22">
        <f>SUM(B2:B32)</f>
        <v>30461.96999999999</v>
      </c>
      <c r="C33" s="22">
        <f>SUM(C2:C32)</f>
        <v>2406.27</v>
      </c>
      <c r="D33" s="23">
        <f t="shared" ref="D33:M33" si="4">SUM(D2:D32)</f>
        <v>2019.05</v>
      </c>
      <c r="E33" s="23">
        <f>SUM(E2:E32)</f>
        <v>0</v>
      </c>
      <c r="F33" s="24">
        <f>SUM(F2:F32)</f>
        <v>34887.29</v>
      </c>
      <c r="G33" s="23">
        <f t="shared" si="4"/>
        <v>5222.2600000000011</v>
      </c>
      <c r="H33" s="23">
        <f>SUM(H2:H32)</f>
        <v>18856.599999999999</v>
      </c>
      <c r="I33" s="23">
        <f t="shared" si="4"/>
        <v>165.3</v>
      </c>
      <c r="J33" s="23">
        <f t="shared" si="4"/>
        <v>7833.25</v>
      </c>
      <c r="K33" s="23">
        <f t="shared" si="4"/>
        <v>638.86000000000013</v>
      </c>
      <c r="L33" s="23">
        <f t="shared" si="4"/>
        <v>2177.46</v>
      </c>
      <c r="M33" s="23">
        <f t="shared" si="4"/>
        <v>0</v>
      </c>
      <c r="N33" s="24">
        <f>SUM(N2:N32)</f>
        <v>34893.729999999996</v>
      </c>
      <c r="O33" s="24">
        <f t="shared" ref="O33:R33" si="5">SUM(O2:O32)</f>
        <v>-6.4400000000001683</v>
      </c>
      <c r="P33" s="23">
        <f t="shared" si="5"/>
        <v>0</v>
      </c>
      <c r="Q33" s="23"/>
      <c r="R33" s="23">
        <f t="shared" si="5"/>
        <v>0</v>
      </c>
      <c r="S33" s="24">
        <f>SUM(S2:S32)</f>
        <v>-5222.2600000000011</v>
      </c>
    </row>
    <row r="34" spans="1:19" x14ac:dyDescent="0.25">
      <c r="A34" s="25" t="s">
        <v>0</v>
      </c>
      <c r="B34" s="26">
        <f>+B33</f>
        <v>30461.96999999999</v>
      </c>
      <c r="C34" s="26">
        <f>+C33</f>
        <v>2406.27</v>
      </c>
      <c r="D34" s="27">
        <f>+D33</f>
        <v>2019.05</v>
      </c>
      <c r="E34" s="27">
        <f>+E33</f>
        <v>0</v>
      </c>
      <c r="F34" s="25"/>
      <c r="G34" s="27">
        <f>+G33</f>
        <v>5222.2600000000011</v>
      </c>
      <c r="H34" s="25"/>
      <c r="I34" s="25"/>
      <c r="J34" s="27">
        <f>+J33</f>
        <v>7833.25</v>
      </c>
      <c r="K34" s="27">
        <f>+K33</f>
        <v>638.86000000000013</v>
      </c>
      <c r="L34" s="27">
        <f>+L33</f>
        <v>2177.46</v>
      </c>
      <c r="M34" s="27">
        <f>+M33</f>
        <v>0</v>
      </c>
      <c r="N34" s="25"/>
      <c r="O34" s="25"/>
      <c r="P34" s="25"/>
      <c r="Q34" s="25"/>
      <c r="R34" s="25"/>
      <c r="S34" s="25"/>
    </row>
    <row r="35" spans="1:19" x14ac:dyDescent="0.25">
      <c r="A35" s="28" t="s">
        <v>9</v>
      </c>
      <c r="B35" s="29">
        <f>+B33</f>
        <v>30461.96999999999</v>
      </c>
      <c r="C35" s="29">
        <f>+C33</f>
        <v>2406.27</v>
      </c>
      <c r="D35" s="30">
        <f>+D33</f>
        <v>2019.05</v>
      </c>
      <c r="E35" s="30">
        <f>+E33</f>
        <v>0</v>
      </c>
      <c r="F35" s="28"/>
      <c r="G35" s="30">
        <f>+G33</f>
        <v>5222.2600000000011</v>
      </c>
      <c r="H35" s="28"/>
      <c r="I35" s="28"/>
      <c r="J35" s="30">
        <f>+J33</f>
        <v>7833.25</v>
      </c>
      <c r="K35" s="30">
        <f>+K33</f>
        <v>638.86000000000013</v>
      </c>
      <c r="L35" s="30">
        <f>+L33</f>
        <v>2177.46</v>
      </c>
      <c r="M35" s="30">
        <f>+M33</f>
        <v>0</v>
      </c>
      <c r="N35" s="28"/>
      <c r="O35" s="28"/>
      <c r="P35" s="28"/>
      <c r="Q35" s="28"/>
      <c r="R35" s="28"/>
      <c r="S35" s="28"/>
    </row>
    <row r="36" spans="1:19" x14ac:dyDescent="0.25">
      <c r="A36" s="28"/>
      <c r="B36" s="28"/>
      <c r="C36" s="28"/>
      <c r="D36" s="28"/>
      <c r="E36" s="28"/>
      <c r="F36" s="28"/>
      <c r="G36" s="28"/>
      <c r="H36" s="37" t="s">
        <v>10</v>
      </c>
      <c r="I36" s="37"/>
      <c r="J36" s="32">
        <v>9309.91</v>
      </c>
      <c r="K36" s="31">
        <f>665.72-33.08</f>
        <v>632.64</v>
      </c>
      <c r="L36" s="31">
        <v>2849.68</v>
      </c>
      <c r="M36" s="28"/>
      <c r="N36" s="28"/>
      <c r="O36" s="28"/>
      <c r="P36" s="28"/>
      <c r="Q36" s="28"/>
      <c r="R36" s="28"/>
      <c r="S36" s="28"/>
    </row>
    <row r="37" spans="1:19" x14ac:dyDescent="0.25">
      <c r="A37" s="28"/>
      <c r="B37" s="28"/>
      <c r="C37" s="28"/>
      <c r="D37" s="28"/>
      <c r="E37" s="28"/>
      <c r="F37" s="28"/>
      <c r="G37" s="28"/>
      <c r="H37" s="37" t="s">
        <v>11</v>
      </c>
      <c r="I37" s="37"/>
      <c r="J37" s="33">
        <f>+J36-J33</f>
        <v>1476.6599999999999</v>
      </c>
      <c r="K37" s="34">
        <f>+K36-K33</f>
        <v>-6.220000000000141</v>
      </c>
      <c r="L37" s="34">
        <f>+L36-L33</f>
        <v>672.2199999999998</v>
      </c>
      <c r="M37" s="28"/>
      <c r="N37" s="28"/>
      <c r="O37" s="28"/>
      <c r="P37" s="28"/>
      <c r="Q37" s="28"/>
      <c r="R37" s="28"/>
      <c r="S37" s="28"/>
    </row>
    <row r="38" spans="1:19" x14ac:dyDescent="0.25">
      <c r="A38" s="28"/>
      <c r="B38" s="28"/>
      <c r="C38" s="28"/>
      <c r="D38" s="28"/>
      <c r="E38" s="28"/>
      <c r="F38" s="28"/>
      <c r="G38" s="28"/>
      <c r="H38" s="37" t="s">
        <v>12</v>
      </c>
      <c r="I38" s="37"/>
      <c r="J38" s="32">
        <v>-1524.57</v>
      </c>
      <c r="K38" s="31">
        <v>-61.62</v>
      </c>
      <c r="L38" s="31">
        <f>-442.46</f>
        <v>-442.46</v>
      </c>
      <c r="M38" s="28"/>
      <c r="N38" s="28"/>
      <c r="O38" s="28"/>
      <c r="P38" s="28"/>
      <c r="Q38" s="28"/>
      <c r="R38" s="28"/>
      <c r="S38" s="28"/>
    </row>
    <row r="39" spans="1:19" x14ac:dyDescent="0.25">
      <c r="A39" s="28"/>
      <c r="B39" s="28"/>
      <c r="C39" s="28"/>
      <c r="D39" s="28"/>
      <c r="E39" s="28"/>
      <c r="F39" s="28"/>
      <c r="G39" s="28"/>
      <c r="H39" s="37" t="s">
        <v>13</v>
      </c>
      <c r="I39" s="37"/>
      <c r="J39" s="32">
        <v>-1615.3</v>
      </c>
      <c r="K39" s="31">
        <f>-57.11-13.26</f>
        <v>-70.37</v>
      </c>
      <c r="L39" s="31">
        <v>-672.22</v>
      </c>
      <c r="M39" s="28"/>
      <c r="N39" s="28"/>
      <c r="O39" s="28"/>
      <c r="P39" s="28"/>
      <c r="Q39" s="28"/>
      <c r="R39" s="28"/>
      <c r="S39" s="28"/>
    </row>
    <row r="40" spans="1:19" x14ac:dyDescent="0.25">
      <c r="A40" s="28"/>
      <c r="B40" s="28"/>
      <c r="C40" s="28"/>
      <c r="D40" s="28"/>
      <c r="E40" s="28"/>
      <c r="F40" s="28"/>
      <c r="G40" s="28"/>
      <c r="H40" s="37" t="s">
        <v>14</v>
      </c>
      <c r="I40" s="37"/>
      <c r="J40" s="32">
        <v>-128.25</v>
      </c>
      <c r="K40" s="31">
        <v>-13.03</v>
      </c>
      <c r="L40" s="31">
        <v>0</v>
      </c>
      <c r="M40" s="28"/>
      <c r="N40" s="28"/>
      <c r="O40" s="28"/>
      <c r="P40" s="28"/>
      <c r="Q40" s="28"/>
      <c r="R40" s="28"/>
      <c r="S40" s="28"/>
    </row>
    <row r="41" spans="1:19" ht="15.75" thickBot="1" x14ac:dyDescent="0.3">
      <c r="A41" s="28"/>
      <c r="B41" s="28"/>
      <c r="C41" s="28"/>
      <c r="D41" s="28"/>
      <c r="E41" s="28"/>
      <c r="F41" s="28"/>
      <c r="G41" s="28"/>
      <c r="H41" s="38" t="s">
        <v>15</v>
      </c>
      <c r="I41" s="38"/>
      <c r="J41" s="35">
        <f>+J36+J38+J39+J40</f>
        <v>6041.79</v>
      </c>
      <c r="K41" s="36">
        <f>+K36+K38+K39+K40</f>
        <v>487.62</v>
      </c>
      <c r="L41" s="36">
        <f>+L36+L38+L39+L40</f>
        <v>1734.9999999999998</v>
      </c>
      <c r="M41" s="28"/>
      <c r="N41" s="28"/>
      <c r="O41" s="28"/>
      <c r="P41" s="28"/>
      <c r="Q41" s="28"/>
      <c r="R41" s="28"/>
      <c r="S41" s="28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2025-08-21T06:00:59Z</dcterms:created>
  <dcterms:modified xsi:type="dcterms:W3CDTF">2025-10-07T07:17:00Z</dcterms:modified>
</cp:coreProperties>
</file>