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DBAEF873-E77D-4D77-94FB-779D8C954F0C}" xr6:coauthVersionLast="47" xr6:coauthVersionMax="47" xr10:uidLastSave="{00000000-0000-0000-0000-000000000000}"/>
  <bookViews>
    <workbookView xWindow="-120" yWindow="-120" windowWidth="20730" windowHeight="11040" xr2:uid="{36EBBB6D-8972-44C0-97E0-D2F8BB17A1C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L34" i="1" s="1"/>
  <c r="J33" i="1"/>
  <c r="J35" i="1" s="1"/>
  <c r="G33" i="1"/>
  <c r="G35" i="1" s="1"/>
  <c r="D33" i="1"/>
  <c r="D35" i="1" s="1"/>
  <c r="N2" i="1"/>
  <c r="H2" i="1"/>
  <c r="F2" i="1"/>
  <c r="A2" i="1"/>
  <c r="J41" i="1"/>
  <c r="K39" i="1"/>
  <c r="L38" i="1"/>
  <c r="L37" i="1"/>
  <c r="K37" i="1"/>
  <c r="L36" i="1"/>
  <c r="K36" i="1"/>
  <c r="K41" i="1" s="1"/>
  <c r="E35" i="1"/>
  <c r="K34" i="1"/>
  <c r="J34" i="1"/>
  <c r="R33" i="1"/>
  <c r="M33" i="1"/>
  <c r="M35" i="1" s="1"/>
  <c r="L35" i="1"/>
  <c r="K33" i="1"/>
  <c r="K35" i="1" s="1"/>
  <c r="I33" i="1"/>
  <c r="E33" i="1"/>
  <c r="E34" i="1" s="1"/>
  <c r="C33" i="1"/>
  <c r="C35" i="1" s="1"/>
  <c r="B33" i="1"/>
  <c r="B35" i="1" s="1"/>
  <c r="S32" i="1"/>
  <c r="N32" i="1"/>
  <c r="O32" i="1" s="1"/>
  <c r="H32" i="1"/>
  <c r="F32" i="1"/>
  <c r="A32" i="1"/>
  <c r="S31" i="1"/>
  <c r="N31" i="1"/>
  <c r="F31" i="1"/>
  <c r="A31" i="1"/>
  <c r="S30" i="1"/>
  <c r="N30" i="1"/>
  <c r="F30" i="1"/>
  <c r="O30" i="1" s="1"/>
  <c r="A30" i="1"/>
  <c r="S29" i="1"/>
  <c r="N29" i="1"/>
  <c r="O29" i="1" s="1"/>
  <c r="F29" i="1"/>
  <c r="A29" i="1"/>
  <c r="S28" i="1"/>
  <c r="N28" i="1"/>
  <c r="F28" i="1"/>
  <c r="O28" i="1" s="1"/>
  <c r="A28" i="1"/>
  <c r="S27" i="1"/>
  <c r="H27" i="1"/>
  <c r="N27" i="1" s="1"/>
  <c r="F27" i="1"/>
  <c r="A27" i="1"/>
  <c r="S26" i="1"/>
  <c r="H26" i="1"/>
  <c r="N26" i="1" s="1"/>
  <c r="O26" i="1" s="1"/>
  <c r="F26" i="1"/>
  <c r="A26" i="1"/>
  <c r="S25" i="1"/>
  <c r="H25" i="1"/>
  <c r="N25" i="1" s="1"/>
  <c r="F25" i="1"/>
  <c r="A25" i="1"/>
  <c r="S24" i="1"/>
  <c r="N24" i="1"/>
  <c r="F24" i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F21" i="1"/>
  <c r="A21" i="1"/>
  <c r="S20" i="1"/>
  <c r="N20" i="1"/>
  <c r="F20" i="1"/>
  <c r="A20" i="1"/>
  <c r="S19" i="1"/>
  <c r="N19" i="1"/>
  <c r="F19" i="1"/>
  <c r="O19" i="1" s="1"/>
  <c r="A19" i="1"/>
  <c r="S18" i="1"/>
  <c r="H18" i="1"/>
  <c r="N18" i="1" s="1"/>
  <c r="F18" i="1"/>
  <c r="A18" i="1"/>
  <c r="S17" i="1"/>
  <c r="H17" i="1"/>
  <c r="N17" i="1" s="1"/>
  <c r="O17" i="1" s="1"/>
  <c r="F17" i="1"/>
  <c r="A17" i="1"/>
  <c r="S16" i="1"/>
  <c r="H16" i="1"/>
  <c r="N16" i="1" s="1"/>
  <c r="F16" i="1"/>
  <c r="A16" i="1"/>
  <c r="S15" i="1"/>
  <c r="H15" i="1"/>
  <c r="N15" i="1" s="1"/>
  <c r="F15" i="1"/>
  <c r="A15" i="1"/>
  <c r="S14" i="1"/>
  <c r="H14" i="1"/>
  <c r="N14" i="1" s="1"/>
  <c r="F14" i="1"/>
  <c r="A14" i="1"/>
  <c r="S13" i="1"/>
  <c r="N13" i="1"/>
  <c r="H13" i="1"/>
  <c r="F13" i="1"/>
  <c r="A13" i="1"/>
  <c r="S12" i="1"/>
  <c r="H12" i="1"/>
  <c r="N12" i="1" s="1"/>
  <c r="F12" i="1"/>
  <c r="A12" i="1"/>
  <c r="S11" i="1"/>
  <c r="N11" i="1"/>
  <c r="F11" i="1"/>
  <c r="O11" i="1" s="1"/>
  <c r="A11" i="1"/>
  <c r="S10" i="1"/>
  <c r="H10" i="1"/>
  <c r="N10" i="1" s="1"/>
  <c r="O10" i="1" s="1"/>
  <c r="F10" i="1"/>
  <c r="A10" i="1"/>
  <c r="S9" i="1"/>
  <c r="N9" i="1"/>
  <c r="F9" i="1"/>
  <c r="O9" i="1" s="1"/>
  <c r="A9" i="1"/>
  <c r="S8" i="1"/>
  <c r="H8" i="1"/>
  <c r="N8" i="1" s="1"/>
  <c r="F8" i="1"/>
  <c r="O8" i="1" s="1"/>
  <c r="A8" i="1"/>
  <c r="S7" i="1"/>
  <c r="N7" i="1"/>
  <c r="F7" i="1"/>
  <c r="O7" i="1" s="1"/>
  <c r="A7" i="1"/>
  <c r="S6" i="1"/>
  <c r="H6" i="1"/>
  <c r="N6" i="1" s="1"/>
  <c r="F6" i="1"/>
  <c r="A6" i="1"/>
  <c r="S5" i="1"/>
  <c r="N5" i="1"/>
  <c r="F5" i="1"/>
  <c r="O5" i="1" s="1"/>
  <c r="A5" i="1"/>
  <c r="S4" i="1"/>
  <c r="H4" i="1"/>
  <c r="N4" i="1" s="1"/>
  <c r="F4" i="1"/>
  <c r="O4" i="1" s="1"/>
  <c r="A4" i="1"/>
  <c r="S3" i="1"/>
  <c r="H3" i="1"/>
  <c r="H33" i="1" s="1"/>
  <c r="F3" i="1"/>
  <c r="F33" i="1" s="1"/>
  <c r="A3" i="1"/>
  <c r="S2" i="1"/>
  <c r="A1" i="1"/>
  <c r="N3" i="1" l="1"/>
  <c r="O3" i="1" s="1"/>
  <c r="O18" i="1"/>
  <c r="O20" i="1"/>
  <c r="O24" i="1"/>
  <c r="O14" i="1"/>
  <c r="O15" i="1"/>
  <c r="O13" i="1"/>
  <c r="S33" i="1"/>
  <c r="O21" i="1"/>
  <c r="L41" i="1"/>
  <c r="O6" i="1"/>
  <c r="O12" i="1"/>
  <c r="O27" i="1"/>
  <c r="O31" i="1"/>
  <c r="J37" i="1"/>
  <c r="O25" i="1"/>
  <c r="O16" i="1"/>
  <c r="G34" i="1"/>
  <c r="B34" i="1"/>
  <c r="M34" i="1"/>
  <c r="C34" i="1"/>
  <c r="D34" i="1"/>
  <c r="N33" i="1" l="1"/>
  <c r="O2" i="1"/>
  <c r="O33" i="1" s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<sst xmlns="http://schemas.openxmlformats.org/spreadsheetml/2006/main" count="27" uniqueCount="27">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</sst>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4" fontId="0" fillId="0" borderId="0" xfId="0" applyNumberFormat="1"/>
    <xf numFmtId="0" fontId="5" fillId="2" borderId="10" xfId="0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right"/>
    </xf>
    <xf numFmtId="165" fontId="5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5" borderId="13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B795-176D-4AEB-841E-C1C0E0F673E0}">
  <dimension ref="A1:S42"/>
  <sheetViews>
    <sheetView tabSelected="1" topLeftCell="B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85546875" bestFit="1" customWidth="1"/>
    <col min="6" max="6" width="10.5703125" bestFit="1" customWidth="1"/>
    <col min="7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2.7109375" customWidth="1"/>
    <col min="16" max="16" width="10.85546875" bestFit="1" customWidth="1"/>
    <col min="17" max="17" width="10.42578125" bestFit="1" customWidth="1"/>
    <col min="19" max="19" width="14.140625" customWidth="1"/>
  </cols>
  <sheetData>
    <row r="1" spans="1:19" ht="32.25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2534.35</v>
      </c>
      <c r="C2" s="8">
        <v>14.45</v>
      </c>
      <c r="D2" s="9">
        <v>202.91</v>
      </c>
      <c r="E2" s="9">
        <v>5.23</v>
      </c>
      <c r="F2" s="10">
        <f>SUM(B2:E2)</f>
        <v>2756.9399999999996</v>
      </c>
      <c r="G2" s="9">
        <v>360.91</v>
      </c>
      <c r="H2" s="9">
        <f>1874.36-5.02</f>
        <v>1869.34</v>
      </c>
      <c r="I2" s="9">
        <v>35.06</v>
      </c>
      <c r="J2" s="9">
        <v>371.1</v>
      </c>
      <c r="K2" s="9">
        <v>73.959999999999994</v>
      </c>
      <c r="L2" s="9">
        <v>46.57</v>
      </c>
      <c r="M2" s="9">
        <v>0</v>
      </c>
      <c r="N2" s="11">
        <f>SUM(G2:M2)</f>
        <v>2756.94</v>
      </c>
      <c r="O2" s="11">
        <f t="shared" ref="O2:O32" si="0">+F2-N2</f>
        <v>0</v>
      </c>
      <c r="P2" s="9">
        <v>360</v>
      </c>
      <c r="Q2" s="12">
        <v>45841</v>
      </c>
      <c r="R2" s="13"/>
      <c r="S2" s="14">
        <f t="shared" ref="S2:S32" si="1">P2-G2-R2</f>
        <v>-0.91000000000002501</v>
      </c>
    </row>
    <row r="3" spans="1:19" x14ac:dyDescent="0.25">
      <c r="A3" s="7">
        <f>'[1]Cash Variance'!A4</f>
        <v>45840</v>
      </c>
      <c r="B3" s="8">
        <v>2643.04</v>
      </c>
      <c r="C3" s="8">
        <v>23.21</v>
      </c>
      <c r="D3" s="9">
        <v>211.66</v>
      </c>
      <c r="E3" s="9">
        <v>8</v>
      </c>
      <c r="F3" s="10">
        <f t="shared" ref="F3:F32" si="2">SUM(B3:E3)</f>
        <v>2885.91</v>
      </c>
      <c r="G3" s="9">
        <v>502.77</v>
      </c>
      <c r="H3" s="9">
        <f>1925.19-1.88</f>
        <v>1923.31</v>
      </c>
      <c r="I3" s="9">
        <v>10.25</v>
      </c>
      <c r="J3" s="9">
        <v>346.06</v>
      </c>
      <c r="K3" s="9">
        <v>0</v>
      </c>
      <c r="L3" s="9">
        <v>103.03</v>
      </c>
      <c r="M3" s="9">
        <v>0.49</v>
      </c>
      <c r="N3" s="11">
        <f t="shared" ref="N3:N32" si="3">SUM(G3:M3)</f>
        <v>2885.91</v>
      </c>
      <c r="O3" s="11">
        <f t="shared" si="0"/>
        <v>0</v>
      </c>
      <c r="P3" s="9">
        <v>557.99</v>
      </c>
      <c r="Q3" s="12">
        <v>45841</v>
      </c>
      <c r="R3" s="13"/>
      <c r="S3" s="14">
        <f t="shared" si="1"/>
        <v>55.220000000000027</v>
      </c>
    </row>
    <row r="4" spans="1:19" x14ac:dyDescent="0.25">
      <c r="A4" s="7">
        <f>'[1]Cash Variance'!A5</f>
        <v>45841</v>
      </c>
      <c r="B4" s="8">
        <v>2664.98</v>
      </c>
      <c r="C4" s="8">
        <v>8.2899999999999991</v>
      </c>
      <c r="D4" s="9">
        <v>213.39</v>
      </c>
      <c r="E4" s="9">
        <v>16.989999999999998</v>
      </c>
      <c r="F4" s="10">
        <f t="shared" si="2"/>
        <v>2903.6499999999996</v>
      </c>
      <c r="G4" s="9">
        <v>420.19</v>
      </c>
      <c r="H4" s="9">
        <f>2122.68-4.47</f>
        <v>2118.21</v>
      </c>
      <c r="I4" s="9">
        <v>52.7</v>
      </c>
      <c r="J4" s="9">
        <v>165.07</v>
      </c>
      <c r="K4" s="9">
        <v>17.66</v>
      </c>
      <c r="L4" s="9">
        <v>113.97</v>
      </c>
      <c r="M4" s="9">
        <v>15.85</v>
      </c>
      <c r="N4" s="11">
        <f t="shared" si="3"/>
        <v>2903.6499999999996</v>
      </c>
      <c r="O4" s="11">
        <f t="shared" si="0"/>
        <v>0</v>
      </c>
      <c r="P4" s="9">
        <v>420.26</v>
      </c>
      <c r="Q4" s="12">
        <v>45846</v>
      </c>
      <c r="R4" s="13"/>
      <c r="S4" s="14">
        <f t="shared" si="1"/>
        <v>6.9999999999993179E-2</v>
      </c>
    </row>
    <row r="5" spans="1:19" x14ac:dyDescent="0.25">
      <c r="A5" s="7">
        <f>'[1]Cash Variance'!A6</f>
        <v>45842</v>
      </c>
      <c r="B5" s="8">
        <v>1749.34</v>
      </c>
      <c r="C5" s="8">
        <v>8.98</v>
      </c>
      <c r="D5" s="9">
        <v>140.11000000000001</v>
      </c>
      <c r="E5" s="9">
        <v>22.52</v>
      </c>
      <c r="F5" s="10">
        <f t="shared" si="2"/>
        <v>1920.9499999999998</v>
      </c>
      <c r="G5" s="9">
        <v>297.86</v>
      </c>
      <c r="H5" s="9">
        <v>1365.63</v>
      </c>
      <c r="I5" s="9">
        <v>7.01</v>
      </c>
      <c r="J5" s="9">
        <v>220.6</v>
      </c>
      <c r="K5" s="9">
        <v>29.84</v>
      </c>
      <c r="L5" s="9">
        <v>0</v>
      </c>
      <c r="M5" s="9">
        <v>0</v>
      </c>
      <c r="N5" s="11">
        <f t="shared" si="3"/>
        <v>1920.94</v>
      </c>
      <c r="O5" s="11">
        <f t="shared" si="0"/>
        <v>9.9999999997635314E-3</v>
      </c>
      <c r="P5" s="9">
        <v>298.11</v>
      </c>
      <c r="Q5" s="12">
        <v>45846</v>
      </c>
      <c r="R5" s="13"/>
      <c r="S5" s="14">
        <f t="shared" si="1"/>
        <v>0.25</v>
      </c>
    </row>
    <row r="6" spans="1:19" x14ac:dyDescent="0.25">
      <c r="A6" s="7">
        <f>'[1]Cash Variance'!A7</f>
        <v>45843</v>
      </c>
      <c r="B6" s="8">
        <v>2179.33</v>
      </c>
      <c r="C6" s="8">
        <v>16.579999999999998</v>
      </c>
      <c r="D6" s="9">
        <v>174.49</v>
      </c>
      <c r="E6" s="9">
        <v>18.309999999999999</v>
      </c>
      <c r="F6" s="10">
        <f t="shared" si="2"/>
        <v>2388.7099999999996</v>
      </c>
      <c r="G6" s="9">
        <v>522.19000000000005</v>
      </c>
      <c r="H6" s="9">
        <f>1358.35-3.52</f>
        <v>1354.83</v>
      </c>
      <c r="I6" s="9">
        <v>19.95</v>
      </c>
      <c r="J6" s="9">
        <v>389.43</v>
      </c>
      <c r="K6" s="9">
        <v>36.75</v>
      </c>
      <c r="L6" s="9">
        <v>65.56</v>
      </c>
      <c r="M6" s="9">
        <v>0</v>
      </c>
      <c r="N6" s="11">
        <f t="shared" si="3"/>
        <v>2388.71</v>
      </c>
      <c r="O6" s="11">
        <f t="shared" si="0"/>
        <v>0</v>
      </c>
      <c r="P6" s="9">
        <v>522.14</v>
      </c>
      <c r="Q6" s="12">
        <v>45846</v>
      </c>
      <c r="R6" s="13"/>
      <c r="S6" s="14">
        <f t="shared" si="1"/>
        <v>-5.0000000000068212E-2</v>
      </c>
    </row>
    <row r="7" spans="1:19" x14ac:dyDescent="0.25">
      <c r="A7" s="7">
        <f>'[1]Cash Variance'!A8</f>
        <v>45844</v>
      </c>
      <c r="B7" s="8">
        <v>2188.88</v>
      </c>
      <c r="C7" s="8">
        <v>0</v>
      </c>
      <c r="D7" s="9">
        <v>175.23</v>
      </c>
      <c r="E7" s="9">
        <v>11.53</v>
      </c>
      <c r="F7" s="10">
        <f t="shared" si="2"/>
        <v>2375.6400000000003</v>
      </c>
      <c r="G7" s="9">
        <v>328.4</v>
      </c>
      <c r="H7" s="9">
        <v>1479.39</v>
      </c>
      <c r="I7" s="9">
        <v>38.28</v>
      </c>
      <c r="J7" s="9">
        <v>422.77</v>
      </c>
      <c r="K7" s="9">
        <v>106.79</v>
      </c>
      <c r="L7" s="9">
        <v>0</v>
      </c>
      <c r="M7" s="9">
        <v>0</v>
      </c>
      <c r="N7" s="11">
        <f t="shared" si="3"/>
        <v>2375.63</v>
      </c>
      <c r="O7" s="11">
        <f t="shared" si="0"/>
        <v>1.0000000000218279E-2</v>
      </c>
      <c r="P7" s="9">
        <v>313.10000000000002</v>
      </c>
      <c r="Q7" s="12">
        <v>45846</v>
      </c>
      <c r="R7" s="13"/>
      <c r="S7" s="14">
        <f t="shared" si="1"/>
        <v>-15.299999999999955</v>
      </c>
    </row>
    <row r="8" spans="1:19" x14ac:dyDescent="0.25">
      <c r="A8" s="7">
        <f>'[1]Cash Variance'!A9</f>
        <v>45845</v>
      </c>
      <c r="B8" s="8">
        <v>1862.66</v>
      </c>
      <c r="C8" s="8">
        <v>13.47</v>
      </c>
      <c r="D8" s="9">
        <v>149.15</v>
      </c>
      <c r="E8" s="9">
        <v>20.21</v>
      </c>
      <c r="F8" s="10">
        <f t="shared" si="2"/>
        <v>2045.4900000000002</v>
      </c>
      <c r="G8" s="9">
        <v>392.28</v>
      </c>
      <c r="H8" s="9">
        <f>1100.83-4.73</f>
        <v>1096.0999999999999</v>
      </c>
      <c r="I8" s="9">
        <v>0</v>
      </c>
      <c r="J8" s="9">
        <v>443.89</v>
      </c>
      <c r="K8" s="9">
        <v>0</v>
      </c>
      <c r="L8" s="9">
        <v>103.67</v>
      </c>
      <c r="M8" s="9">
        <v>9.5500000000000007</v>
      </c>
      <c r="N8" s="11">
        <f t="shared" si="3"/>
        <v>2045.49</v>
      </c>
      <c r="O8" s="11">
        <f t="shared" si="0"/>
        <v>0</v>
      </c>
      <c r="P8" s="9">
        <v>401.27</v>
      </c>
      <c r="Q8" s="12">
        <v>45846</v>
      </c>
      <c r="R8" s="13"/>
      <c r="S8" s="14">
        <f t="shared" si="1"/>
        <v>8.9900000000000091</v>
      </c>
    </row>
    <row r="9" spans="1:19" x14ac:dyDescent="0.25">
      <c r="A9" s="7">
        <f>'[1]Cash Variance'!A10</f>
        <v>45846</v>
      </c>
      <c r="B9" s="8">
        <v>1949.48</v>
      </c>
      <c r="C9" s="8">
        <v>22.96</v>
      </c>
      <c r="D9" s="15">
        <v>156.09</v>
      </c>
      <c r="E9" s="9">
        <v>24.43</v>
      </c>
      <c r="F9" s="10">
        <f t="shared" si="2"/>
        <v>2152.96</v>
      </c>
      <c r="G9" s="9">
        <v>308.14</v>
      </c>
      <c r="H9" s="9">
        <v>1542.03</v>
      </c>
      <c r="I9" s="9">
        <v>0</v>
      </c>
      <c r="J9" s="9">
        <v>122.8</v>
      </c>
      <c r="K9" s="9">
        <v>78.650000000000006</v>
      </c>
      <c r="L9" s="9">
        <v>101.71</v>
      </c>
      <c r="M9" s="9">
        <v>0</v>
      </c>
      <c r="N9" s="11">
        <f t="shared" si="3"/>
        <v>2153.33</v>
      </c>
      <c r="O9" s="11">
        <f t="shared" si="0"/>
        <v>-0.36999999999989086</v>
      </c>
      <c r="P9" s="9">
        <v>300.42</v>
      </c>
      <c r="Q9" s="12">
        <v>45847</v>
      </c>
      <c r="R9" s="13"/>
      <c r="S9" s="14">
        <f t="shared" si="1"/>
        <v>-7.7199999999999704</v>
      </c>
    </row>
    <row r="10" spans="1:19" x14ac:dyDescent="0.25">
      <c r="A10" s="7">
        <f>'[1]Cash Variance'!A11</f>
        <v>45847</v>
      </c>
      <c r="B10" s="8">
        <v>1632.1</v>
      </c>
      <c r="C10" s="8">
        <v>18.88</v>
      </c>
      <c r="D10" s="15">
        <v>130.69999999999999</v>
      </c>
      <c r="E10" s="9">
        <v>13</v>
      </c>
      <c r="F10" s="10">
        <f t="shared" si="2"/>
        <v>1794.68</v>
      </c>
      <c r="G10" s="9">
        <v>355.14</v>
      </c>
      <c r="H10" s="9">
        <f>1362.15-2.74</f>
        <v>1359.41</v>
      </c>
      <c r="I10" s="9">
        <v>0</v>
      </c>
      <c r="J10" s="9">
        <v>66.8</v>
      </c>
      <c r="K10" s="9">
        <v>0</v>
      </c>
      <c r="L10" s="9">
        <v>13.33</v>
      </c>
      <c r="M10" s="9">
        <v>0</v>
      </c>
      <c r="N10" s="11">
        <f t="shared" si="3"/>
        <v>1794.68</v>
      </c>
      <c r="O10" s="11">
        <f t="shared" si="0"/>
        <v>0</v>
      </c>
      <c r="P10" s="9">
        <v>354.96</v>
      </c>
      <c r="Q10" s="12">
        <v>45849</v>
      </c>
      <c r="R10" s="13"/>
      <c r="S10" s="14">
        <f t="shared" si="1"/>
        <v>-0.18000000000000682</v>
      </c>
    </row>
    <row r="11" spans="1:19" x14ac:dyDescent="0.25">
      <c r="A11" s="7">
        <f>'[1]Cash Variance'!A12</f>
        <v>45848</v>
      </c>
      <c r="B11" s="8">
        <v>2298.9</v>
      </c>
      <c r="C11" s="8">
        <v>5.41</v>
      </c>
      <c r="D11" s="9">
        <v>184.11</v>
      </c>
      <c r="E11" s="9">
        <v>19.54</v>
      </c>
      <c r="F11" s="10">
        <f t="shared" si="2"/>
        <v>2507.96</v>
      </c>
      <c r="G11" s="9">
        <v>390.9</v>
      </c>
      <c r="H11" s="9">
        <v>1821.9</v>
      </c>
      <c r="I11" s="9">
        <v>17.79</v>
      </c>
      <c r="J11" s="9">
        <v>223.82</v>
      </c>
      <c r="K11" s="9">
        <v>25.33</v>
      </c>
      <c r="L11" s="9">
        <v>16.04</v>
      </c>
      <c r="M11" s="9">
        <v>12.4</v>
      </c>
      <c r="N11" s="11">
        <f t="shared" si="3"/>
        <v>2508.1800000000003</v>
      </c>
      <c r="O11" s="11">
        <f t="shared" si="0"/>
        <v>-0.22000000000025466</v>
      </c>
      <c r="P11" s="9">
        <v>415.93</v>
      </c>
      <c r="Q11" s="12">
        <v>45849</v>
      </c>
      <c r="R11" s="13"/>
      <c r="S11" s="14">
        <f t="shared" si="1"/>
        <v>25.03000000000003</v>
      </c>
    </row>
    <row r="12" spans="1:19" x14ac:dyDescent="0.25">
      <c r="A12" s="7">
        <f>'[1]Cash Variance'!A13</f>
        <v>45849</v>
      </c>
      <c r="B12" s="8">
        <v>2821.54</v>
      </c>
      <c r="C12" s="8">
        <v>24.34</v>
      </c>
      <c r="D12" s="9">
        <v>225.92</v>
      </c>
      <c r="E12" s="9">
        <v>33.369999999999997</v>
      </c>
      <c r="F12" s="10">
        <f t="shared" si="2"/>
        <v>3105.17</v>
      </c>
      <c r="G12" s="9">
        <v>342.95</v>
      </c>
      <c r="H12" s="9">
        <f>2395.2-11.12</f>
        <v>2384.08</v>
      </c>
      <c r="I12" s="9">
        <v>58.24</v>
      </c>
      <c r="J12" s="9">
        <v>135.36000000000001</v>
      </c>
      <c r="K12" s="9">
        <v>16.11</v>
      </c>
      <c r="L12" s="9">
        <v>168.43</v>
      </c>
      <c r="M12" s="9">
        <v>0</v>
      </c>
      <c r="N12" s="11">
        <f t="shared" si="3"/>
        <v>3105.1699999999996</v>
      </c>
      <c r="O12" s="11">
        <f t="shared" si="0"/>
        <v>0</v>
      </c>
      <c r="P12" s="9">
        <v>329.5</v>
      </c>
      <c r="Q12" s="12">
        <v>45853</v>
      </c>
      <c r="R12" s="13"/>
      <c r="S12" s="14">
        <f t="shared" si="1"/>
        <v>-13.449999999999989</v>
      </c>
    </row>
    <row r="13" spans="1:19" x14ac:dyDescent="0.25">
      <c r="A13" s="7">
        <f>'[1]Cash Variance'!A14</f>
        <v>45850</v>
      </c>
      <c r="B13" s="8">
        <v>2322.23</v>
      </c>
      <c r="C13" s="8">
        <v>26.06</v>
      </c>
      <c r="D13" s="9">
        <v>185.99</v>
      </c>
      <c r="E13" s="9">
        <v>26.47</v>
      </c>
      <c r="F13" s="10">
        <f t="shared" si="2"/>
        <v>2560.7499999999995</v>
      </c>
      <c r="G13" s="9">
        <v>304.87</v>
      </c>
      <c r="H13" s="9">
        <f>1718.02-5.28</f>
        <v>1712.74</v>
      </c>
      <c r="I13" s="9">
        <v>0</v>
      </c>
      <c r="J13" s="9">
        <v>398.07</v>
      </c>
      <c r="K13" s="9">
        <v>10.96</v>
      </c>
      <c r="L13" s="9">
        <v>134.11000000000001</v>
      </c>
      <c r="M13" s="9">
        <v>0</v>
      </c>
      <c r="N13" s="11">
        <f t="shared" si="3"/>
        <v>2560.7500000000005</v>
      </c>
      <c r="O13" s="11">
        <f t="shared" si="0"/>
        <v>0</v>
      </c>
      <c r="P13" s="9">
        <v>325.06</v>
      </c>
      <c r="Q13" s="12">
        <v>45853</v>
      </c>
      <c r="R13" s="13"/>
      <c r="S13" s="14">
        <f t="shared" si="1"/>
        <v>20.189999999999998</v>
      </c>
    </row>
    <row r="14" spans="1:19" x14ac:dyDescent="0.25">
      <c r="A14" s="7">
        <f>'[1]Cash Variance'!A15</f>
        <v>45851</v>
      </c>
      <c r="B14" s="8">
        <v>2063.4</v>
      </c>
      <c r="C14" s="8">
        <v>23.33</v>
      </c>
      <c r="D14" s="9">
        <v>165.2</v>
      </c>
      <c r="E14" s="9">
        <v>21.38</v>
      </c>
      <c r="F14" s="10">
        <f t="shared" si="2"/>
        <v>2273.31</v>
      </c>
      <c r="G14" s="9">
        <v>344.17</v>
      </c>
      <c r="H14" s="9">
        <f>1701.75-3.53</f>
        <v>1698.22</v>
      </c>
      <c r="I14" s="9">
        <v>44.76</v>
      </c>
      <c r="J14" s="9">
        <v>90.35</v>
      </c>
      <c r="K14" s="9">
        <v>26.91</v>
      </c>
      <c r="L14" s="9">
        <v>68.900000000000006</v>
      </c>
      <c r="M14" s="9">
        <v>0</v>
      </c>
      <c r="N14" s="11">
        <f t="shared" si="3"/>
        <v>2273.31</v>
      </c>
      <c r="O14" s="11">
        <f t="shared" si="0"/>
        <v>0</v>
      </c>
      <c r="P14" s="9">
        <v>342.36</v>
      </c>
      <c r="Q14" s="12">
        <v>45853</v>
      </c>
      <c r="R14" s="13"/>
      <c r="S14" s="14">
        <f t="shared" si="1"/>
        <v>-1.8100000000000023</v>
      </c>
    </row>
    <row r="15" spans="1:19" x14ac:dyDescent="0.25">
      <c r="A15" s="7">
        <f>'[1]Cash Variance'!A16</f>
        <v>45852</v>
      </c>
      <c r="B15" s="8">
        <v>2019.43</v>
      </c>
      <c r="C15" s="8">
        <v>8.98</v>
      </c>
      <c r="D15" s="9">
        <v>161.71</v>
      </c>
      <c r="E15" s="9">
        <v>7.32</v>
      </c>
      <c r="F15" s="10">
        <f t="shared" si="2"/>
        <v>2197.44</v>
      </c>
      <c r="G15" s="9">
        <v>410.88</v>
      </c>
      <c r="H15" s="9">
        <f>1338.57-2.35</f>
        <v>1336.22</v>
      </c>
      <c r="I15" s="9">
        <v>0</v>
      </c>
      <c r="J15" s="9">
        <v>323.77999999999997</v>
      </c>
      <c r="K15" s="9">
        <v>63.01</v>
      </c>
      <c r="L15" s="9">
        <v>37.57</v>
      </c>
      <c r="M15" s="9">
        <v>25.98</v>
      </c>
      <c r="N15" s="11">
        <f t="shared" si="3"/>
        <v>2197.4400000000005</v>
      </c>
      <c r="O15" s="11">
        <f t="shared" si="0"/>
        <v>0</v>
      </c>
      <c r="P15" s="9">
        <v>410.94</v>
      </c>
      <c r="Q15" s="12">
        <v>45853</v>
      </c>
      <c r="R15" s="13"/>
      <c r="S15" s="14">
        <f t="shared" si="1"/>
        <v>6.0000000000002274E-2</v>
      </c>
    </row>
    <row r="16" spans="1:19" x14ac:dyDescent="0.25">
      <c r="A16" s="7">
        <f>'[1]Cash Variance'!A17</f>
        <v>45853</v>
      </c>
      <c r="B16" s="8">
        <v>2055.23</v>
      </c>
      <c r="C16" s="8">
        <v>13.47</v>
      </c>
      <c r="D16" s="9">
        <v>164.57</v>
      </c>
      <c r="E16" s="9">
        <v>19.41</v>
      </c>
      <c r="F16" s="10">
        <f t="shared" si="2"/>
        <v>2252.6799999999998</v>
      </c>
      <c r="G16" s="9">
        <v>307.5</v>
      </c>
      <c r="H16" s="9">
        <f>1549.53-1.91</f>
        <v>1547.62</v>
      </c>
      <c r="I16" s="9">
        <v>8.09</v>
      </c>
      <c r="J16" s="9">
        <v>196.47</v>
      </c>
      <c r="K16" s="9">
        <v>112</v>
      </c>
      <c r="L16" s="9">
        <v>81</v>
      </c>
      <c r="M16" s="9">
        <v>0</v>
      </c>
      <c r="N16" s="11">
        <f t="shared" si="3"/>
        <v>2252.6799999999998</v>
      </c>
      <c r="O16" s="11">
        <f t="shared" si="0"/>
        <v>0</v>
      </c>
      <c r="P16" s="9">
        <v>307.66000000000003</v>
      </c>
      <c r="Q16" s="12">
        <v>45854</v>
      </c>
      <c r="R16" s="13"/>
      <c r="S16" s="14">
        <f t="shared" si="1"/>
        <v>0.16000000000002501</v>
      </c>
    </row>
    <row r="17" spans="1:19" x14ac:dyDescent="0.25">
      <c r="A17" s="7">
        <f>'[1]Cash Variance'!A18</f>
        <v>45854</v>
      </c>
      <c r="B17" s="8">
        <v>2251.1999999999998</v>
      </c>
      <c r="C17" s="8">
        <v>15.45</v>
      </c>
      <c r="D17" s="9">
        <v>180.29</v>
      </c>
      <c r="E17" s="9">
        <v>26.39</v>
      </c>
      <c r="F17" s="10">
        <f t="shared" si="2"/>
        <v>2473.3299999999995</v>
      </c>
      <c r="G17" s="9">
        <v>336.19</v>
      </c>
      <c r="H17" s="9">
        <f>1872.96-4.92</f>
        <v>1868.04</v>
      </c>
      <c r="I17" s="9">
        <v>19.690000000000001</v>
      </c>
      <c r="J17" s="9">
        <v>80.400000000000006</v>
      </c>
      <c r="K17" s="9">
        <v>22.78</v>
      </c>
      <c r="L17" s="9">
        <v>138.13999999999999</v>
      </c>
      <c r="M17" s="9">
        <v>8.09</v>
      </c>
      <c r="N17" s="11">
        <f t="shared" si="3"/>
        <v>2473.3300000000004</v>
      </c>
      <c r="O17" s="11">
        <f t="shared" si="0"/>
        <v>0</v>
      </c>
      <c r="P17" s="9">
        <v>291.62</v>
      </c>
      <c r="Q17" s="12">
        <v>45856</v>
      </c>
      <c r="R17" s="13"/>
      <c r="S17" s="14">
        <f t="shared" si="1"/>
        <v>-44.569999999999993</v>
      </c>
    </row>
    <row r="18" spans="1:19" x14ac:dyDescent="0.25">
      <c r="A18" s="7">
        <f>'[1]Cash Variance'!A19</f>
        <v>45855</v>
      </c>
      <c r="B18" s="8">
        <v>2113.69</v>
      </c>
      <c r="C18" s="8">
        <v>4.49</v>
      </c>
      <c r="D18" s="9">
        <v>169.27</v>
      </c>
      <c r="E18" s="9">
        <v>20.239999999999998</v>
      </c>
      <c r="F18" s="10">
        <f t="shared" si="2"/>
        <v>2307.6899999999996</v>
      </c>
      <c r="G18" s="9">
        <v>482.15</v>
      </c>
      <c r="H18" s="9">
        <f>1419.6-4.48</f>
        <v>1415.12</v>
      </c>
      <c r="I18" s="9">
        <v>40.44</v>
      </c>
      <c r="J18" s="9">
        <v>298.56</v>
      </c>
      <c r="K18" s="9">
        <v>22.33</v>
      </c>
      <c r="L18" s="9">
        <v>44.3</v>
      </c>
      <c r="M18" s="9">
        <v>4.79</v>
      </c>
      <c r="N18" s="11">
        <f t="shared" si="3"/>
        <v>2307.69</v>
      </c>
      <c r="O18" s="11">
        <f t="shared" si="0"/>
        <v>0</v>
      </c>
      <c r="P18" s="9">
        <v>482.2</v>
      </c>
      <c r="Q18" s="12">
        <v>45856</v>
      </c>
      <c r="R18" s="13"/>
      <c r="S18" s="14">
        <f t="shared" si="1"/>
        <v>5.0000000000011369E-2</v>
      </c>
    </row>
    <row r="19" spans="1:19" x14ac:dyDescent="0.25">
      <c r="A19" s="7">
        <f>'[1]Cash Variance'!A20</f>
        <v>45856</v>
      </c>
      <c r="B19" s="8">
        <v>2617.88</v>
      </c>
      <c r="C19" s="8">
        <v>22.6</v>
      </c>
      <c r="D19" s="9">
        <v>209.62</v>
      </c>
      <c r="E19" s="9">
        <v>16.350000000000001</v>
      </c>
      <c r="F19" s="10">
        <f t="shared" si="2"/>
        <v>2866.45</v>
      </c>
      <c r="G19" s="9">
        <v>488.37</v>
      </c>
      <c r="H19" s="9">
        <v>2033.44</v>
      </c>
      <c r="I19" s="9">
        <v>55.54</v>
      </c>
      <c r="J19" s="9">
        <v>233.23</v>
      </c>
      <c r="K19" s="9">
        <v>22.32</v>
      </c>
      <c r="L19" s="9">
        <v>31.94</v>
      </c>
      <c r="M19" s="9">
        <v>1.91</v>
      </c>
      <c r="N19" s="11">
        <f t="shared" si="3"/>
        <v>2866.75</v>
      </c>
      <c r="O19" s="11">
        <f t="shared" si="0"/>
        <v>-0.3000000000001819</v>
      </c>
      <c r="P19" s="9">
        <v>488.26</v>
      </c>
      <c r="Q19" s="12">
        <v>45859</v>
      </c>
      <c r="R19" s="13"/>
      <c r="S19" s="14">
        <f t="shared" si="1"/>
        <v>-0.11000000000001364</v>
      </c>
    </row>
    <row r="20" spans="1:19" x14ac:dyDescent="0.25">
      <c r="A20" s="7">
        <f>'[1]Cash Variance'!A21</f>
        <v>45857</v>
      </c>
      <c r="B20" s="8">
        <v>1890.22</v>
      </c>
      <c r="C20" s="8">
        <v>27.79</v>
      </c>
      <c r="D20" s="9">
        <v>151.36000000000001</v>
      </c>
      <c r="E20" s="9">
        <v>4.29</v>
      </c>
      <c r="F20" s="10">
        <f t="shared" si="2"/>
        <v>2073.66</v>
      </c>
      <c r="G20" s="9">
        <v>396.59</v>
      </c>
      <c r="H20" s="9">
        <v>1463.63</v>
      </c>
      <c r="I20" s="9">
        <v>8.09</v>
      </c>
      <c r="J20" s="9">
        <v>134.84</v>
      </c>
      <c r="K20" s="9">
        <v>30.06</v>
      </c>
      <c r="L20" s="9">
        <v>31.18</v>
      </c>
      <c r="M20" s="9">
        <v>10</v>
      </c>
      <c r="N20" s="11">
        <f t="shared" si="3"/>
        <v>2074.39</v>
      </c>
      <c r="O20" s="11">
        <f t="shared" si="0"/>
        <v>-0.73000000000001819</v>
      </c>
      <c r="P20" s="9">
        <v>420.26</v>
      </c>
      <c r="Q20" s="12">
        <v>45859</v>
      </c>
      <c r="R20" s="13"/>
      <c r="S20" s="14">
        <f t="shared" si="1"/>
        <v>23.670000000000016</v>
      </c>
    </row>
    <row r="21" spans="1:19" x14ac:dyDescent="0.25">
      <c r="A21" s="7">
        <f>'[1]Cash Variance'!A22</f>
        <v>45858</v>
      </c>
      <c r="B21" s="8">
        <v>2005.53</v>
      </c>
      <c r="C21" s="8">
        <v>22.29</v>
      </c>
      <c r="D21" s="9">
        <v>160.56</v>
      </c>
      <c r="E21" s="9">
        <v>8.39</v>
      </c>
      <c r="F21" s="10">
        <f t="shared" si="2"/>
        <v>2196.77</v>
      </c>
      <c r="G21" s="9">
        <v>280.76</v>
      </c>
      <c r="H21" s="9">
        <v>1558.67</v>
      </c>
      <c r="I21" s="9">
        <v>8.09</v>
      </c>
      <c r="J21" s="9">
        <v>285.55</v>
      </c>
      <c r="K21" s="9">
        <v>13.33</v>
      </c>
      <c r="L21" s="9">
        <v>49.89</v>
      </c>
      <c r="M21" s="9">
        <v>0</v>
      </c>
      <c r="N21" s="11">
        <f t="shared" si="3"/>
        <v>2196.29</v>
      </c>
      <c r="O21" s="11">
        <f t="shared" si="0"/>
        <v>0.48000000000001819</v>
      </c>
      <c r="P21" s="9">
        <v>281.01</v>
      </c>
      <c r="Q21" s="12">
        <v>45859</v>
      </c>
      <c r="R21" s="13"/>
      <c r="S21" s="14">
        <f t="shared" si="1"/>
        <v>0.25</v>
      </c>
    </row>
    <row r="22" spans="1:19" x14ac:dyDescent="0.25">
      <c r="A22" s="7">
        <f>'[1]Cash Variance'!A23</f>
        <v>45859</v>
      </c>
      <c r="B22" s="8">
        <v>1578.93</v>
      </c>
      <c r="C22" s="8">
        <v>16.559999999999999</v>
      </c>
      <c r="D22" s="9">
        <v>126.46</v>
      </c>
      <c r="E22" s="9">
        <v>10.039999999999999</v>
      </c>
      <c r="F22" s="10">
        <f t="shared" si="2"/>
        <v>1731.99</v>
      </c>
      <c r="G22" s="9">
        <v>331.73</v>
      </c>
      <c r="H22" s="9">
        <v>1185.82</v>
      </c>
      <c r="I22" s="9">
        <v>18.88</v>
      </c>
      <c r="J22" s="9">
        <v>173.4</v>
      </c>
      <c r="K22" s="9">
        <v>0</v>
      </c>
      <c r="L22" s="9">
        <v>22.38</v>
      </c>
      <c r="M22" s="9">
        <v>0</v>
      </c>
      <c r="N22" s="11">
        <f t="shared" si="3"/>
        <v>1732.2100000000003</v>
      </c>
      <c r="O22" s="11">
        <f t="shared" si="0"/>
        <v>-0.22000000000025466</v>
      </c>
      <c r="P22" s="9">
        <v>332.28</v>
      </c>
      <c r="Q22" s="12">
        <v>45862</v>
      </c>
      <c r="R22" s="13"/>
      <c r="S22" s="14">
        <f t="shared" si="1"/>
        <v>0.54999999999995453</v>
      </c>
    </row>
    <row r="23" spans="1:19" x14ac:dyDescent="0.25">
      <c r="A23" s="7">
        <f>'[1]Cash Variance'!A24</f>
        <v>45860</v>
      </c>
      <c r="B23" s="8">
        <v>1976.46</v>
      </c>
      <c r="C23" s="8">
        <v>47.66</v>
      </c>
      <c r="D23" s="9">
        <v>158.25</v>
      </c>
      <c r="E23" s="9">
        <v>10.42</v>
      </c>
      <c r="F23" s="10">
        <f t="shared" si="2"/>
        <v>2192.79</v>
      </c>
      <c r="G23" s="9">
        <v>393.16</v>
      </c>
      <c r="H23" s="9">
        <v>1585.86</v>
      </c>
      <c r="I23" s="9">
        <v>30.21</v>
      </c>
      <c r="J23" s="9">
        <v>139.91999999999999</v>
      </c>
      <c r="K23" s="9">
        <v>16.97</v>
      </c>
      <c r="L23" s="9">
        <v>26.6</v>
      </c>
      <c r="M23" s="9">
        <v>0</v>
      </c>
      <c r="N23" s="11">
        <f t="shared" si="3"/>
        <v>2192.7199999999998</v>
      </c>
      <c r="O23" s="11">
        <f t="shared" si="0"/>
        <v>7.0000000000163709E-2</v>
      </c>
      <c r="P23" s="9">
        <v>395.06</v>
      </c>
      <c r="Q23" s="12">
        <v>45861</v>
      </c>
      <c r="R23" s="13"/>
      <c r="S23" s="14">
        <f t="shared" si="1"/>
        <v>1.8999999999999773</v>
      </c>
    </row>
    <row r="24" spans="1:19" x14ac:dyDescent="0.25">
      <c r="A24" s="7">
        <f>'[1]Cash Variance'!A25</f>
        <v>45861</v>
      </c>
      <c r="B24" s="8">
        <v>1731.38</v>
      </c>
      <c r="C24" s="8">
        <v>8.81</v>
      </c>
      <c r="D24" s="9">
        <v>138.61000000000001</v>
      </c>
      <c r="E24" s="9">
        <v>15.26</v>
      </c>
      <c r="F24" s="10">
        <f t="shared" si="2"/>
        <v>1894.0600000000002</v>
      </c>
      <c r="G24" s="9">
        <v>328.31</v>
      </c>
      <c r="H24" s="9">
        <v>1273.43</v>
      </c>
      <c r="I24" s="9">
        <v>16.989999999999998</v>
      </c>
      <c r="J24" s="9">
        <v>202.36</v>
      </c>
      <c r="K24" s="9">
        <v>52.75</v>
      </c>
      <c r="L24" s="9">
        <v>21.53</v>
      </c>
      <c r="M24" s="9">
        <v>0</v>
      </c>
      <c r="N24" s="11">
        <f t="shared" si="3"/>
        <v>1895.3700000000001</v>
      </c>
      <c r="O24" s="11">
        <f t="shared" si="0"/>
        <v>-1.3099999999999454</v>
      </c>
      <c r="P24" s="9">
        <v>330.59</v>
      </c>
      <c r="Q24" s="12">
        <v>45862</v>
      </c>
      <c r="R24" s="13"/>
      <c r="S24" s="14">
        <f t="shared" si="1"/>
        <v>2.2799999999999727</v>
      </c>
    </row>
    <row r="25" spans="1:19" x14ac:dyDescent="0.25">
      <c r="A25" s="7">
        <f>'[1]Cash Variance'!A26</f>
        <v>45862</v>
      </c>
      <c r="B25" s="8">
        <v>2446.4499999999998</v>
      </c>
      <c r="C25" s="9">
        <v>18.55</v>
      </c>
      <c r="D25" s="9">
        <v>195.86</v>
      </c>
      <c r="E25" s="9">
        <v>22.76</v>
      </c>
      <c r="F25" s="10">
        <f t="shared" si="2"/>
        <v>2683.6200000000003</v>
      </c>
      <c r="G25" s="9">
        <v>443.48</v>
      </c>
      <c r="H25" s="9">
        <f>1543.9-3.15</f>
        <v>1540.75</v>
      </c>
      <c r="I25" s="9">
        <v>10.79</v>
      </c>
      <c r="J25" s="9">
        <v>560</v>
      </c>
      <c r="K25" s="9">
        <v>0</v>
      </c>
      <c r="L25" s="9">
        <v>123.32</v>
      </c>
      <c r="M25" s="9">
        <v>5.28</v>
      </c>
      <c r="N25" s="11">
        <f t="shared" si="3"/>
        <v>2683.6200000000003</v>
      </c>
      <c r="O25" s="11">
        <f t="shared" si="0"/>
        <v>0</v>
      </c>
      <c r="P25" s="9">
        <v>443.69</v>
      </c>
      <c r="Q25" s="12">
        <v>45866</v>
      </c>
      <c r="R25" s="13"/>
      <c r="S25" s="14">
        <f t="shared" si="1"/>
        <v>0.20999999999997954</v>
      </c>
    </row>
    <row r="26" spans="1:19" x14ac:dyDescent="0.25">
      <c r="A26" s="7">
        <f>'[1]Cash Variance'!A27</f>
        <v>45863</v>
      </c>
      <c r="B26" s="9">
        <v>2677.71</v>
      </c>
      <c r="C26" s="9">
        <v>32.78</v>
      </c>
      <c r="D26" s="9">
        <v>214.38</v>
      </c>
      <c r="E26" s="9">
        <v>15.67</v>
      </c>
      <c r="F26" s="10">
        <f t="shared" si="2"/>
        <v>2940.5400000000004</v>
      </c>
      <c r="G26" s="9">
        <v>300.95999999999998</v>
      </c>
      <c r="H26" s="9">
        <f>2108.19-2.4</f>
        <v>2105.79</v>
      </c>
      <c r="I26" s="9">
        <v>66.88</v>
      </c>
      <c r="J26" s="9">
        <v>376.68</v>
      </c>
      <c r="K26" s="9">
        <v>20.23</v>
      </c>
      <c r="L26" s="9">
        <v>70</v>
      </c>
      <c r="M26" s="9">
        <v>0</v>
      </c>
      <c r="N26" s="11">
        <f t="shared" si="3"/>
        <v>2940.54</v>
      </c>
      <c r="O26" s="11">
        <f t="shared" si="0"/>
        <v>0</v>
      </c>
      <c r="P26" s="9">
        <v>332.74</v>
      </c>
      <c r="Q26" s="12">
        <v>45866</v>
      </c>
      <c r="R26" s="13"/>
      <c r="S26" s="14">
        <f t="shared" si="1"/>
        <v>31.78000000000003</v>
      </c>
    </row>
    <row r="27" spans="1:19" x14ac:dyDescent="0.25">
      <c r="A27" s="7">
        <f>'[1]Cash Variance'!A28</f>
        <v>45864</v>
      </c>
      <c r="B27" s="8">
        <v>2097.56</v>
      </c>
      <c r="C27" s="8">
        <v>9.9</v>
      </c>
      <c r="D27" s="9">
        <v>167.95</v>
      </c>
      <c r="E27" s="9">
        <v>2.4500000000000002</v>
      </c>
      <c r="F27" s="10">
        <f t="shared" si="2"/>
        <v>2277.8599999999997</v>
      </c>
      <c r="G27" s="9">
        <v>682.46</v>
      </c>
      <c r="H27" s="9">
        <f>1252.43-2.11</f>
        <v>1250.3200000000002</v>
      </c>
      <c r="I27" s="9">
        <v>38.51</v>
      </c>
      <c r="J27" s="9">
        <v>255.74</v>
      </c>
      <c r="K27" s="9">
        <v>16.11</v>
      </c>
      <c r="L27" s="9">
        <v>34.72</v>
      </c>
      <c r="M27" s="9">
        <v>0</v>
      </c>
      <c r="N27" s="11">
        <f t="shared" si="3"/>
        <v>2277.86</v>
      </c>
      <c r="O27" s="11">
        <f t="shared" si="0"/>
        <v>0</v>
      </c>
      <c r="P27" s="9">
        <v>681.66</v>
      </c>
      <c r="Q27" s="12">
        <v>45866</v>
      </c>
      <c r="R27" s="13"/>
      <c r="S27" s="14">
        <f t="shared" si="1"/>
        <v>-0.80000000000006821</v>
      </c>
    </row>
    <row r="28" spans="1:19" x14ac:dyDescent="0.25">
      <c r="A28" s="7">
        <f>'[1]Cash Variance'!A29</f>
        <v>45865</v>
      </c>
      <c r="B28" s="8">
        <v>1972.17</v>
      </c>
      <c r="C28" s="8">
        <v>8.82</v>
      </c>
      <c r="D28" s="9">
        <v>157.9</v>
      </c>
      <c r="E28" s="9">
        <v>9.5</v>
      </c>
      <c r="F28" s="10">
        <f t="shared" si="2"/>
        <v>2148.39</v>
      </c>
      <c r="G28" s="9">
        <v>330.83</v>
      </c>
      <c r="H28" s="9">
        <v>1407.44</v>
      </c>
      <c r="I28" s="9">
        <v>86.39</v>
      </c>
      <c r="J28" s="9">
        <v>298.45999999999998</v>
      </c>
      <c r="K28" s="9">
        <v>0</v>
      </c>
      <c r="L28" s="9">
        <v>26.88</v>
      </c>
      <c r="M28" s="9">
        <v>0</v>
      </c>
      <c r="N28" s="11">
        <f t="shared" si="3"/>
        <v>2150</v>
      </c>
      <c r="O28" s="11">
        <f t="shared" si="0"/>
        <v>-1.6100000000001273</v>
      </c>
      <c r="P28" s="9">
        <v>300.99</v>
      </c>
      <c r="Q28" s="12">
        <v>45866</v>
      </c>
      <c r="R28" s="13"/>
      <c r="S28" s="14">
        <f t="shared" si="1"/>
        <v>-29.839999999999975</v>
      </c>
    </row>
    <row r="29" spans="1:19" x14ac:dyDescent="0.25">
      <c r="A29" s="7">
        <f>'[1]Cash Variance'!A30</f>
        <v>45866</v>
      </c>
      <c r="B29" s="8">
        <v>1623.14</v>
      </c>
      <c r="C29" s="8">
        <v>5.41</v>
      </c>
      <c r="D29" s="9">
        <v>129.97</v>
      </c>
      <c r="E29" s="9">
        <v>0</v>
      </c>
      <c r="F29" s="10">
        <f t="shared" si="2"/>
        <v>1758.5200000000002</v>
      </c>
      <c r="G29" s="9">
        <v>419.47</v>
      </c>
      <c r="H29" s="9">
        <v>1026.8599999999999</v>
      </c>
      <c r="I29" s="9">
        <v>0</v>
      </c>
      <c r="J29" s="9">
        <v>219.15</v>
      </c>
      <c r="K29" s="9">
        <v>21.92</v>
      </c>
      <c r="L29" s="9">
        <v>71.25</v>
      </c>
      <c r="M29" s="9">
        <v>0</v>
      </c>
      <c r="N29" s="11">
        <f t="shared" si="3"/>
        <v>1758.65</v>
      </c>
      <c r="O29" s="11">
        <f t="shared" si="0"/>
        <v>-0.12999999999988177</v>
      </c>
      <c r="P29">
        <v>429.01</v>
      </c>
      <c r="Q29" s="16">
        <v>45867</v>
      </c>
      <c r="R29" s="13"/>
      <c r="S29" s="14">
        <f t="shared" si="1"/>
        <v>9.5399999999999636</v>
      </c>
    </row>
    <row r="30" spans="1:19" x14ac:dyDescent="0.25">
      <c r="A30" s="7">
        <f>'[1]Cash Variance'!A31</f>
        <v>45867</v>
      </c>
      <c r="B30" s="8">
        <v>1835.5</v>
      </c>
      <c r="C30" s="8">
        <v>15.38</v>
      </c>
      <c r="D30" s="9">
        <v>146.96</v>
      </c>
      <c r="E30" s="9">
        <v>13.63</v>
      </c>
      <c r="F30" s="10">
        <f t="shared" si="2"/>
        <v>2011.4700000000003</v>
      </c>
      <c r="G30" s="9">
        <v>314.05</v>
      </c>
      <c r="H30" s="9">
        <v>1273.71</v>
      </c>
      <c r="I30" s="9">
        <v>23.73</v>
      </c>
      <c r="J30" s="9">
        <v>310.52999999999997</v>
      </c>
      <c r="K30" s="9">
        <v>22.55</v>
      </c>
      <c r="L30" s="9">
        <v>57.71</v>
      </c>
      <c r="M30" s="9">
        <v>10</v>
      </c>
      <c r="N30" s="11">
        <f t="shared" si="3"/>
        <v>2012.28</v>
      </c>
      <c r="O30" s="11">
        <f t="shared" si="0"/>
        <v>-0.80999999999971806</v>
      </c>
      <c r="P30" s="9">
        <v>314.60000000000002</v>
      </c>
      <c r="Q30" s="12">
        <v>45869</v>
      </c>
      <c r="R30" s="13"/>
      <c r="S30" s="14">
        <f t="shared" si="1"/>
        <v>0.55000000000001137</v>
      </c>
    </row>
    <row r="31" spans="1:19" x14ac:dyDescent="0.25">
      <c r="A31" s="7">
        <f>'[1]Cash Variance'!A32</f>
        <v>45868</v>
      </c>
      <c r="B31" s="8">
        <v>2200.66</v>
      </c>
      <c r="C31" s="8">
        <v>15.31</v>
      </c>
      <c r="D31" s="9">
        <v>176.19</v>
      </c>
      <c r="E31" s="9">
        <v>27.34</v>
      </c>
      <c r="F31" s="10">
        <f t="shared" si="2"/>
        <v>2419.5</v>
      </c>
      <c r="G31" s="9">
        <v>309.23</v>
      </c>
      <c r="H31" s="9">
        <v>1687.41</v>
      </c>
      <c r="I31" s="9">
        <v>0</v>
      </c>
      <c r="J31" s="9">
        <v>363.44</v>
      </c>
      <c r="K31" s="9">
        <v>14.18</v>
      </c>
      <c r="L31" s="9">
        <v>46.06</v>
      </c>
      <c r="M31" s="9">
        <v>0</v>
      </c>
      <c r="N31" s="11">
        <f t="shared" si="3"/>
        <v>2420.3199999999997</v>
      </c>
      <c r="O31" s="11">
        <f t="shared" si="0"/>
        <v>-0.81999999999970896</v>
      </c>
      <c r="P31" s="9">
        <v>310.05</v>
      </c>
      <c r="Q31" s="12">
        <v>45869</v>
      </c>
      <c r="R31" s="13"/>
      <c r="S31" s="14">
        <f t="shared" si="1"/>
        <v>0.81999999999999318</v>
      </c>
    </row>
    <row r="32" spans="1:19" ht="15.75" thickBot="1" x14ac:dyDescent="0.3">
      <c r="A32" s="7">
        <f>'[1]Cash Variance'!A33</f>
        <v>45869</v>
      </c>
      <c r="B32" s="8">
        <v>2517.7600000000002</v>
      </c>
      <c r="C32" s="8">
        <v>23.37</v>
      </c>
      <c r="D32" s="9">
        <v>201.59</v>
      </c>
      <c r="E32" s="9">
        <v>42.06</v>
      </c>
      <c r="F32" s="10">
        <f t="shared" si="2"/>
        <v>2784.78</v>
      </c>
      <c r="G32" s="9">
        <v>364.79</v>
      </c>
      <c r="H32" s="9">
        <f>2009.81-5.19</f>
        <v>2004.62</v>
      </c>
      <c r="I32" s="9">
        <v>48.91</v>
      </c>
      <c r="J32" s="9">
        <v>316.31</v>
      </c>
      <c r="K32" s="9">
        <v>0</v>
      </c>
      <c r="L32" s="9">
        <v>50.15</v>
      </c>
      <c r="M32" s="9">
        <v>0</v>
      </c>
      <c r="N32" s="11">
        <f t="shared" si="3"/>
        <v>2784.7799999999997</v>
      </c>
      <c r="O32" s="11">
        <f t="shared" si="0"/>
        <v>0</v>
      </c>
      <c r="P32" s="9"/>
      <c r="Q32" s="12"/>
      <c r="R32" s="13"/>
      <c r="S32" s="14">
        <f t="shared" si="1"/>
        <v>-364.79</v>
      </c>
    </row>
    <row r="33" spans="1:19" ht="15.75" thickBot="1" x14ac:dyDescent="0.3">
      <c r="A33" s="17" t="s">
        <v>8</v>
      </c>
      <c r="B33" s="18">
        <f t="shared" ref="B33:M33" si="4">SUM(B2:B32)</f>
        <v>66521.129999999976</v>
      </c>
      <c r="C33" s="18">
        <f t="shared" si="4"/>
        <v>523.57999999999993</v>
      </c>
      <c r="D33" s="18">
        <f>SUM(D2:D32)</f>
        <v>5326.45</v>
      </c>
      <c r="E33" s="18">
        <f>SUM(E2:E32)</f>
        <v>512.5</v>
      </c>
      <c r="F33" s="19">
        <f>SUM(F2:F32)</f>
        <v>72883.659999999989</v>
      </c>
      <c r="G33" s="18">
        <f>SUM(G2:G32)</f>
        <v>11791.679999999997</v>
      </c>
      <c r="H33" s="18">
        <f>SUM(H2:H32)</f>
        <v>49289.94000000001</v>
      </c>
      <c r="I33" s="18">
        <f t="shared" si="4"/>
        <v>765.27</v>
      </c>
      <c r="J33" s="18">
        <f>SUM(J2:J32)</f>
        <v>8164.94</v>
      </c>
      <c r="K33" s="18">
        <f t="shared" si="4"/>
        <v>873.5</v>
      </c>
      <c r="L33" s="18">
        <f>SUM(L2:L32)</f>
        <v>1899.94</v>
      </c>
      <c r="M33" s="18">
        <f t="shared" si="4"/>
        <v>104.34</v>
      </c>
      <c r="N33" s="19">
        <f>SUM(N2:N32)</f>
        <v>72889.610000000015</v>
      </c>
      <c r="O33" s="19">
        <f t="shared" ref="O33:R33" si="5">SUM(O2:O32)</f>
        <v>-5.9499999999998181</v>
      </c>
      <c r="P33" s="18">
        <f>SUM(P2:P32)</f>
        <v>11493.72</v>
      </c>
      <c r="Q33" s="18"/>
      <c r="R33" s="18">
        <f t="shared" si="5"/>
        <v>0</v>
      </c>
      <c r="S33" s="19">
        <f>SUM(S2:S32)</f>
        <v>-297.96000000000009</v>
      </c>
    </row>
    <row r="34" spans="1:19" x14ac:dyDescent="0.25">
      <c r="A34" s="20" t="s">
        <v>0</v>
      </c>
      <c r="B34" s="21">
        <f>+B33</f>
        <v>66521.129999999976</v>
      </c>
      <c r="C34" s="21">
        <f>+C33</f>
        <v>523.57999999999993</v>
      </c>
      <c r="D34" s="21">
        <f>+D33</f>
        <v>5326.45</v>
      </c>
      <c r="E34" s="21">
        <f>+E33</f>
        <v>512.5</v>
      </c>
      <c r="F34" s="20"/>
      <c r="G34" s="21">
        <f>+G33</f>
        <v>11791.679999999997</v>
      </c>
      <c r="H34" s="20"/>
      <c r="I34" s="20"/>
      <c r="J34" s="21">
        <f>+J33</f>
        <v>8164.94</v>
      </c>
      <c r="K34" s="21">
        <f>+K33</f>
        <v>873.5</v>
      </c>
      <c r="L34" s="21">
        <f>+L33</f>
        <v>1899.94</v>
      </c>
      <c r="M34" s="21">
        <f>+M33</f>
        <v>104.34</v>
      </c>
      <c r="N34" s="20"/>
      <c r="O34" s="20"/>
      <c r="P34" s="20"/>
      <c r="Q34" s="22"/>
      <c r="R34" s="20"/>
      <c r="S34" s="20"/>
    </row>
    <row r="35" spans="1:19" x14ac:dyDescent="0.25">
      <c r="A35" s="23" t="s">
        <v>9</v>
      </c>
      <c r="B35" s="24">
        <f>+B33</f>
        <v>66521.129999999976</v>
      </c>
      <c r="C35" s="24">
        <f>+C33</f>
        <v>523.57999999999993</v>
      </c>
      <c r="D35" s="24">
        <f>+D33</f>
        <v>5326.45</v>
      </c>
      <c r="E35" s="24">
        <f>+E33</f>
        <v>512.5</v>
      </c>
      <c r="F35" s="23"/>
      <c r="G35" s="24">
        <f>+G33</f>
        <v>11791.679999999997</v>
      </c>
      <c r="H35" s="23"/>
      <c r="I35" s="23"/>
      <c r="J35" s="24">
        <f>+J33</f>
        <v>8164.94</v>
      </c>
      <c r="K35" s="24">
        <f>+K33</f>
        <v>873.5</v>
      </c>
      <c r="L35" s="24">
        <f>+L33</f>
        <v>1899.94</v>
      </c>
      <c r="M35" s="24">
        <f>+M33</f>
        <v>104.34</v>
      </c>
      <c r="N35" s="23"/>
      <c r="O35" s="23"/>
      <c r="P35" s="23"/>
      <c r="Q35" s="22"/>
      <c r="R35" s="23"/>
      <c r="S35" s="23"/>
    </row>
    <row r="36" spans="1:19" x14ac:dyDescent="0.25">
      <c r="A36" s="23"/>
      <c r="B36" s="23"/>
      <c r="C36" s="23"/>
      <c r="D36" s="23"/>
      <c r="E36" s="23"/>
      <c r="F36" s="23"/>
      <c r="G36" s="23"/>
      <c r="H36" s="31" t="s">
        <v>10</v>
      </c>
      <c r="I36" s="31"/>
      <c r="J36" s="26">
        <v>9813.2900000000009</v>
      </c>
      <c r="K36" s="25">
        <f>949.92-9.75</f>
        <v>940.17</v>
      </c>
      <c r="L36" s="25">
        <f>2308.47+132.42</f>
        <v>2440.89</v>
      </c>
      <c r="M36" s="23"/>
      <c r="N36" s="23"/>
      <c r="O36" s="23"/>
      <c r="P36" s="23"/>
      <c r="Q36" s="23"/>
      <c r="R36" s="23"/>
      <c r="S36" s="23"/>
    </row>
    <row r="37" spans="1:19" x14ac:dyDescent="0.25">
      <c r="A37" s="23"/>
      <c r="B37" s="23"/>
      <c r="C37" s="23"/>
      <c r="D37" s="23"/>
      <c r="E37" s="23"/>
      <c r="F37" s="23"/>
      <c r="G37" s="23"/>
      <c r="H37" s="31" t="s">
        <v>11</v>
      </c>
      <c r="I37" s="31"/>
      <c r="J37" s="27">
        <f>+J36-J33</f>
        <v>1648.3500000000013</v>
      </c>
      <c r="K37" s="28">
        <f>+K36-K33</f>
        <v>66.669999999999959</v>
      </c>
      <c r="L37" s="28">
        <f>+L36-L33</f>
        <v>540.94999999999982</v>
      </c>
      <c r="M37" s="23"/>
      <c r="N37" s="23"/>
      <c r="O37" s="23"/>
      <c r="P37" s="23"/>
      <c r="Q37" s="23"/>
      <c r="R37" s="23"/>
      <c r="S37" s="23"/>
    </row>
    <row r="38" spans="1:19" x14ac:dyDescent="0.25">
      <c r="A38" s="23"/>
      <c r="B38" s="23"/>
      <c r="C38" s="23"/>
      <c r="D38" s="23"/>
      <c r="E38" s="23"/>
      <c r="F38" s="23"/>
      <c r="G38" s="23"/>
      <c r="H38" s="31" t="s">
        <v>12</v>
      </c>
      <c r="I38" s="31"/>
      <c r="J38" s="26">
        <v>-1572.18</v>
      </c>
      <c r="K38" s="25">
        <v>-88.65</v>
      </c>
      <c r="L38" s="25">
        <f>-380.58+110.94</f>
        <v>-269.64</v>
      </c>
      <c r="M38" s="23"/>
      <c r="N38" s="23"/>
      <c r="O38" s="23"/>
      <c r="P38" s="23"/>
      <c r="Q38" s="23"/>
      <c r="R38" s="23"/>
      <c r="S38" s="23"/>
    </row>
    <row r="39" spans="1:19" x14ac:dyDescent="0.25">
      <c r="A39" s="23"/>
      <c r="B39" s="23"/>
      <c r="C39" s="23"/>
      <c r="D39" s="23"/>
      <c r="E39" s="23"/>
      <c r="F39" s="23"/>
      <c r="G39" s="23"/>
      <c r="H39" s="31" t="s">
        <v>13</v>
      </c>
      <c r="I39" s="31"/>
      <c r="J39" s="26">
        <v>-1801.12</v>
      </c>
      <c r="K39" s="25">
        <f>-76.9-76.42</f>
        <v>-153.32</v>
      </c>
      <c r="L39" s="25">
        <v>-532.28</v>
      </c>
      <c r="M39" s="23"/>
      <c r="N39" s="23"/>
      <c r="O39" s="23"/>
      <c r="P39" s="23"/>
      <c r="Q39" s="23"/>
      <c r="R39" s="23"/>
      <c r="S39" s="23"/>
    </row>
    <row r="40" spans="1:19" x14ac:dyDescent="0.25">
      <c r="A40" s="23"/>
      <c r="B40" s="23"/>
      <c r="C40" s="23"/>
      <c r="D40" s="23"/>
      <c r="E40" s="23"/>
      <c r="F40" s="23"/>
      <c r="G40" s="23"/>
      <c r="H40" s="31" t="s">
        <v>14</v>
      </c>
      <c r="I40" s="31"/>
      <c r="J40" s="26">
        <v>-82.01</v>
      </c>
      <c r="K40" s="25">
        <v>-17.96</v>
      </c>
      <c r="L40" s="25">
        <v>4.71</v>
      </c>
      <c r="M40" s="23"/>
      <c r="N40" s="23"/>
      <c r="O40" s="23"/>
      <c r="P40" s="23"/>
      <c r="Q40" s="23"/>
      <c r="R40" s="23"/>
      <c r="S40" s="23"/>
    </row>
    <row r="41" spans="1:19" ht="15.75" thickBot="1" x14ac:dyDescent="0.3">
      <c r="A41" s="23"/>
      <c r="B41" s="23"/>
      <c r="C41" s="23"/>
      <c r="D41" s="23"/>
      <c r="E41" s="23"/>
      <c r="F41" s="23"/>
      <c r="G41" s="23"/>
      <c r="H41" s="32" t="s">
        <v>15</v>
      </c>
      <c r="I41" s="32"/>
      <c r="J41" s="29">
        <f>+J36+J38+J39+J40</f>
        <v>6357.9800000000005</v>
      </c>
      <c r="K41" s="30">
        <f>+K36+K38+K39+K40</f>
        <v>680.24</v>
      </c>
      <c r="L41" s="30">
        <f>+L36+L38+L39+L40</f>
        <v>1643.68</v>
      </c>
      <c r="M41" s="23"/>
      <c r="N41" s="23"/>
      <c r="O41" s="23"/>
      <c r="P41" s="23"/>
      <c r="Q41" s="23"/>
      <c r="R41" s="23"/>
      <c r="S41" s="23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2025-08-20T12:55:02Z</dcterms:created>
  <dcterms:modified xsi:type="dcterms:W3CDTF">2025-10-07T07:14:05Z</dcterms:modified>
</cp:coreProperties>
</file>