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ECEE4500-87BB-42B5-8DCD-60E07BF6EA2A}" xr6:coauthVersionLast="47" xr6:coauthVersionMax="47" xr10:uidLastSave="{00000000-0000-0000-0000-000000000000}"/>
  <bookViews>
    <workbookView xWindow="-120" yWindow="-120" windowWidth="20730" windowHeight="11040" xr2:uid="{A70894E5-584D-4D1B-B3AA-0EB060EB7B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A2" i="1"/>
  <c r="J41" i="1"/>
  <c r="K39" i="1"/>
  <c r="K41" i="1" s="1"/>
  <c r="L38" i="1"/>
  <c r="L41" i="1" s="1"/>
  <c r="K36" i="1"/>
  <c r="K37" i="1" s="1"/>
  <c r="M34" i="1"/>
  <c r="L34" i="1"/>
  <c r="R33" i="1"/>
  <c r="M33" i="1"/>
  <c r="M35" i="1" s="1"/>
  <c r="L33" i="1"/>
  <c r="L37" i="1" s="1"/>
  <c r="K33" i="1"/>
  <c r="K34" i="1" s="1"/>
  <c r="J33" i="1"/>
  <c r="J35" i="1" s="1"/>
  <c r="I33" i="1"/>
  <c r="G33" i="1"/>
  <c r="E33" i="1"/>
  <c r="E35" i="1" s="1"/>
  <c r="D33" i="1"/>
  <c r="D34" i="1" s="1"/>
  <c r="C33" i="1"/>
  <c r="C35" i="1" s="1"/>
  <c r="B33" i="1"/>
  <c r="B35" i="1" s="1"/>
  <c r="S32" i="1"/>
  <c r="H32" i="1"/>
  <c r="N32" i="1" s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P17" i="1"/>
  <c r="S17" i="1" s="1"/>
  <c r="H17" i="1"/>
  <c r="N17" i="1" s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O13" i="1" s="1"/>
  <c r="A13" i="1"/>
  <c r="S12" i="1"/>
  <c r="H12" i="1"/>
  <c r="N12" i="1" s="1"/>
  <c r="F12" i="1"/>
  <c r="A12" i="1"/>
  <c r="S11" i="1"/>
  <c r="H11" i="1"/>
  <c r="N11" i="1" s="1"/>
  <c r="F11" i="1"/>
  <c r="O11" i="1" s="1"/>
  <c r="A11" i="1"/>
  <c r="S10" i="1"/>
  <c r="N10" i="1"/>
  <c r="H10" i="1"/>
  <c r="F10" i="1"/>
  <c r="A10" i="1"/>
  <c r="S9" i="1"/>
  <c r="H9" i="1"/>
  <c r="N9" i="1" s="1"/>
  <c r="F9" i="1"/>
  <c r="O9" i="1" s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O6" i="1" s="1"/>
  <c r="F6" i="1"/>
  <c r="A6" i="1"/>
  <c r="S5" i="1"/>
  <c r="H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S33" i="1" s="1"/>
  <c r="H2" i="1"/>
  <c r="N2" i="1" s="1"/>
  <c r="F2" i="1"/>
  <c r="A1" i="1"/>
  <c r="O2" i="1" l="1"/>
  <c r="N33" i="1"/>
  <c r="F33" i="1"/>
  <c r="O15" i="1"/>
  <c r="O17" i="1"/>
  <c r="O21" i="1"/>
  <c r="O23" i="1"/>
  <c r="O25" i="1"/>
  <c r="K35" i="1"/>
  <c r="H33" i="1"/>
  <c r="L35" i="1"/>
  <c r="O12" i="1"/>
  <c r="E34" i="1"/>
  <c r="J37" i="1"/>
  <c r="O10" i="1"/>
  <c r="J34" i="1"/>
  <c r="D35" i="1"/>
  <c r="P33" i="1"/>
  <c r="O18" i="1"/>
  <c r="O24" i="1"/>
  <c r="O28" i="1"/>
  <c r="O30" i="1"/>
  <c r="O3" i="1"/>
  <c r="G34" i="1"/>
  <c r="N5" i="1"/>
  <c r="O5" i="1" s="1"/>
  <c r="B34" i="1"/>
  <c r="C34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tc={7557C39F-96B9-409F-BA79-7FAE3446CB65}</author>
  </authors>
  <commentList>
    <comment ref="P17" authorId="0" shapeId="0" xr:uid="{B0A8BECD-5FA8-4B75-941B-A44A68D276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ON 07-22-2025 IS $16845,BUT I TAKE $4445.92 FOR JUNE MONTH AND 12399.08 FOR JULY MONTH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<sst xmlns="http://schemas.openxmlformats.org/spreadsheetml/2006/main" count="27" uniqueCount="27">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</sst>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4" fontId="4" fillId="5" borderId="6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8D6C-0F8D-4D15-801E-51F70D372D5B}">
  <dimension ref="A1:S42"/>
  <sheetViews>
    <sheetView tabSelected="1" topLeftCell="R1" workbookViewId="0">
      <selection activeCell="S1" sqref="S1"/>
    </sheetView>
  </sheetViews>
  <sheetFormatPr defaultRowHeight="15" x14ac:dyDescent="0.25"/>
  <cols>
    <col min="1" max="1" width="15" customWidth="1"/>
    <col min="2" max="3" width="10.85546875" bestFit="1" customWidth="1"/>
    <col min="4" max="5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1793.12</v>
      </c>
      <c r="C2" s="8">
        <v>430.89</v>
      </c>
      <c r="D2" s="9">
        <v>107.83</v>
      </c>
      <c r="E2" s="9">
        <v>27.94</v>
      </c>
      <c r="F2" s="10">
        <f>SUM(B2:E2)</f>
        <v>2359.7799999999997</v>
      </c>
      <c r="G2" s="9">
        <v>576.55999999999995</v>
      </c>
      <c r="H2" s="9">
        <f>1347.01-12</f>
        <v>1335.01</v>
      </c>
      <c r="I2" s="9">
        <v>13.76</v>
      </c>
      <c r="J2" s="9">
        <v>357.92</v>
      </c>
      <c r="K2" s="9">
        <v>0</v>
      </c>
      <c r="L2" s="9">
        <v>76.53</v>
      </c>
      <c r="M2" s="9">
        <v>0</v>
      </c>
      <c r="N2" s="11">
        <f t="shared" ref="N2:N32" si="0">SUM(G2:M2)</f>
        <v>2359.7800000000002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-576.55999999999995</v>
      </c>
    </row>
    <row r="3" spans="1:19" x14ac:dyDescent="0.25">
      <c r="A3" s="7">
        <f>'[1]Cash Variance'!A4</f>
        <v>45840</v>
      </c>
      <c r="B3" s="8">
        <v>2472.27</v>
      </c>
      <c r="C3" s="8">
        <v>525.97</v>
      </c>
      <c r="D3" s="9">
        <v>148.63999999999999</v>
      </c>
      <c r="E3" s="9">
        <v>53.2</v>
      </c>
      <c r="F3" s="10">
        <f t="shared" ref="F3:F32" si="3">SUM(B3:E3)</f>
        <v>3200.0799999999995</v>
      </c>
      <c r="G3" s="9">
        <v>663.54</v>
      </c>
      <c r="H3" s="9">
        <f>1981.32-2.49</f>
        <v>1978.83</v>
      </c>
      <c r="I3" s="9">
        <v>37.92</v>
      </c>
      <c r="J3" s="9">
        <v>398.37</v>
      </c>
      <c r="K3" s="9">
        <v>20.46</v>
      </c>
      <c r="L3" s="9">
        <v>87.19</v>
      </c>
      <c r="M3" s="9">
        <v>13.77</v>
      </c>
      <c r="N3" s="11">
        <f t="shared" si="0"/>
        <v>3200.08</v>
      </c>
      <c r="O3" s="11">
        <f t="shared" si="1"/>
        <v>0</v>
      </c>
      <c r="P3" s="9"/>
      <c r="Q3" s="12"/>
      <c r="R3" s="13"/>
      <c r="S3" s="14">
        <f t="shared" si="2"/>
        <v>-663.54</v>
      </c>
    </row>
    <row r="4" spans="1:19" x14ac:dyDescent="0.25">
      <c r="A4" s="7">
        <f>'[1]Cash Variance'!A5</f>
        <v>45841</v>
      </c>
      <c r="B4" s="8">
        <v>3366.53</v>
      </c>
      <c r="C4" s="8">
        <v>728.75</v>
      </c>
      <c r="D4" s="9">
        <v>202.43</v>
      </c>
      <c r="E4" s="9">
        <v>38.92</v>
      </c>
      <c r="F4" s="10">
        <f t="shared" si="3"/>
        <v>4336.63</v>
      </c>
      <c r="G4" s="9">
        <v>812.94</v>
      </c>
      <c r="H4" s="9">
        <f>2815.01-7</f>
        <v>2808.01</v>
      </c>
      <c r="I4" s="9">
        <v>7.94</v>
      </c>
      <c r="J4" s="9">
        <v>560.16</v>
      </c>
      <c r="K4" s="9">
        <v>0</v>
      </c>
      <c r="L4" s="9">
        <v>146.4</v>
      </c>
      <c r="M4" s="9">
        <v>1.18</v>
      </c>
      <c r="N4" s="11">
        <f t="shared" si="0"/>
        <v>4336.63</v>
      </c>
      <c r="O4" s="11">
        <f t="shared" si="1"/>
        <v>0</v>
      </c>
      <c r="P4" s="9"/>
      <c r="Q4" s="12"/>
      <c r="R4" s="13"/>
      <c r="S4" s="14">
        <f t="shared" si="2"/>
        <v>-812.94</v>
      </c>
    </row>
    <row r="5" spans="1:19" x14ac:dyDescent="0.25">
      <c r="A5" s="7">
        <f>'[1]Cash Variance'!A6</f>
        <v>45842</v>
      </c>
      <c r="B5" s="8">
        <v>2487.6</v>
      </c>
      <c r="C5" s="8">
        <v>718.8</v>
      </c>
      <c r="D5" s="9">
        <v>149.57</v>
      </c>
      <c r="E5" s="9">
        <v>64.040000000000006</v>
      </c>
      <c r="F5" s="10">
        <f t="shared" si="3"/>
        <v>3420.0099999999998</v>
      </c>
      <c r="G5" s="9">
        <v>646.05999999999995</v>
      </c>
      <c r="H5" s="9">
        <f>2074.82-2.5</f>
        <v>2072.3200000000002</v>
      </c>
      <c r="I5" s="9">
        <v>0</v>
      </c>
      <c r="J5" s="9">
        <v>576.63</v>
      </c>
      <c r="K5" s="9">
        <v>45.35</v>
      </c>
      <c r="L5" s="9">
        <v>79.650000000000006</v>
      </c>
      <c r="M5" s="9">
        <v>0</v>
      </c>
      <c r="N5" s="11">
        <f t="shared" si="0"/>
        <v>3420.01</v>
      </c>
      <c r="O5" s="11">
        <f t="shared" si="1"/>
        <v>0</v>
      </c>
      <c r="P5" s="9"/>
      <c r="Q5" s="12"/>
      <c r="R5" s="13"/>
      <c r="S5" s="14">
        <f t="shared" si="2"/>
        <v>-646.05999999999995</v>
      </c>
    </row>
    <row r="6" spans="1:19" x14ac:dyDescent="0.25">
      <c r="A6" s="7">
        <f>'[1]Cash Variance'!A7</f>
        <v>45843</v>
      </c>
      <c r="B6" s="8">
        <v>3197.84</v>
      </c>
      <c r="C6" s="8">
        <v>648.89</v>
      </c>
      <c r="D6" s="9">
        <v>192.21</v>
      </c>
      <c r="E6" s="9">
        <v>52.469999999999899</v>
      </c>
      <c r="F6" s="10">
        <f t="shared" si="3"/>
        <v>4091.41</v>
      </c>
      <c r="G6" s="9">
        <v>759.21</v>
      </c>
      <c r="H6" s="9">
        <f>2669.65-9.49</f>
        <v>2660.1600000000003</v>
      </c>
      <c r="I6" s="9">
        <v>20.64</v>
      </c>
      <c r="J6" s="9">
        <v>411.63</v>
      </c>
      <c r="K6" s="9">
        <v>21.79</v>
      </c>
      <c r="L6" s="9">
        <v>217.98</v>
      </c>
      <c r="M6" s="9">
        <v>0</v>
      </c>
      <c r="N6" s="11">
        <f t="shared" si="0"/>
        <v>4091.4100000000003</v>
      </c>
      <c r="O6" s="11">
        <f t="shared" si="1"/>
        <v>0</v>
      </c>
      <c r="P6" s="9"/>
      <c r="Q6" s="12"/>
      <c r="R6" s="13"/>
      <c r="S6" s="14">
        <f t="shared" si="2"/>
        <v>-759.21</v>
      </c>
    </row>
    <row r="7" spans="1:19" x14ac:dyDescent="0.25">
      <c r="A7" s="7">
        <f>'[1]Cash Variance'!A8</f>
        <v>45844</v>
      </c>
      <c r="B7" s="8">
        <v>2654.05</v>
      </c>
      <c r="C7" s="8">
        <v>656.26</v>
      </c>
      <c r="D7" s="9">
        <v>159.57</v>
      </c>
      <c r="E7" s="9">
        <v>62.2</v>
      </c>
      <c r="F7" s="10">
        <f>SUM(B7:E7)</f>
        <v>3532.0800000000004</v>
      </c>
      <c r="G7" s="9">
        <v>685.16</v>
      </c>
      <c r="H7" s="9">
        <f>2182.19-12.5</f>
        <v>2169.69</v>
      </c>
      <c r="I7" s="9">
        <v>8.4700000000000006</v>
      </c>
      <c r="J7" s="9">
        <v>364.84</v>
      </c>
      <c r="K7" s="9">
        <v>83.71</v>
      </c>
      <c r="L7" s="9">
        <v>220.21</v>
      </c>
      <c r="M7" s="9">
        <v>0</v>
      </c>
      <c r="N7" s="11">
        <f t="shared" si="0"/>
        <v>3532.08</v>
      </c>
      <c r="O7" s="11">
        <f t="shared" si="1"/>
        <v>0</v>
      </c>
      <c r="P7" s="9"/>
      <c r="Q7" s="12"/>
      <c r="R7" s="13"/>
      <c r="S7" s="14">
        <f t="shared" si="2"/>
        <v>-685.16</v>
      </c>
    </row>
    <row r="8" spans="1:19" x14ac:dyDescent="0.25">
      <c r="A8" s="7">
        <f>'[1]Cash Variance'!A9</f>
        <v>45845</v>
      </c>
      <c r="B8" s="8">
        <v>1811.58</v>
      </c>
      <c r="C8" s="8">
        <v>647.66999999999996</v>
      </c>
      <c r="D8" s="9">
        <v>108.96</v>
      </c>
      <c r="E8" s="9">
        <v>38.03</v>
      </c>
      <c r="F8" s="10">
        <f t="shared" si="3"/>
        <v>2606.2400000000002</v>
      </c>
      <c r="G8" s="9">
        <v>496.03</v>
      </c>
      <c r="H8" s="9">
        <f>1407.82-16.45</f>
        <v>1391.37</v>
      </c>
      <c r="I8" s="9">
        <v>59.16</v>
      </c>
      <c r="J8" s="9">
        <v>431.29</v>
      </c>
      <c r="K8" s="9">
        <v>58.78</v>
      </c>
      <c r="L8" s="9">
        <v>169.61</v>
      </c>
      <c r="M8" s="9">
        <v>0</v>
      </c>
      <c r="N8" s="11">
        <f t="shared" si="0"/>
        <v>2606.2400000000002</v>
      </c>
      <c r="O8" s="11">
        <f t="shared" si="1"/>
        <v>0</v>
      </c>
      <c r="P8" s="9"/>
      <c r="Q8" s="12"/>
      <c r="R8" s="13"/>
      <c r="S8" s="14">
        <f t="shared" si="2"/>
        <v>-496.03</v>
      </c>
    </row>
    <row r="9" spans="1:19" x14ac:dyDescent="0.25">
      <c r="A9" s="7">
        <f>'[1]Cash Variance'!A10</f>
        <v>45846</v>
      </c>
      <c r="B9" s="8">
        <v>1943.87</v>
      </c>
      <c r="C9" s="8">
        <v>634.21</v>
      </c>
      <c r="D9" s="15">
        <v>116.91</v>
      </c>
      <c r="E9" s="9">
        <v>30.01</v>
      </c>
      <c r="F9" s="10">
        <f t="shared" si="3"/>
        <v>2725</v>
      </c>
      <c r="G9" s="9">
        <v>550.25</v>
      </c>
      <c r="H9" s="9">
        <f>1535.42-9.96</f>
        <v>1525.46</v>
      </c>
      <c r="I9" s="9">
        <v>14.06</v>
      </c>
      <c r="J9" s="9">
        <v>485.31</v>
      </c>
      <c r="K9" s="9">
        <v>0</v>
      </c>
      <c r="L9" s="9">
        <v>149.91999999999999</v>
      </c>
      <c r="M9" s="9">
        <v>0</v>
      </c>
      <c r="N9" s="11">
        <f t="shared" si="0"/>
        <v>2725</v>
      </c>
      <c r="O9" s="11">
        <f t="shared" si="1"/>
        <v>0</v>
      </c>
      <c r="P9" s="16"/>
      <c r="Q9" s="12"/>
      <c r="R9" s="13"/>
      <c r="S9" s="14">
        <f t="shared" si="2"/>
        <v>-550.25</v>
      </c>
    </row>
    <row r="10" spans="1:19" x14ac:dyDescent="0.25">
      <c r="A10" s="7">
        <f>'[1]Cash Variance'!A11</f>
        <v>45847</v>
      </c>
      <c r="B10" s="8">
        <v>2107.06</v>
      </c>
      <c r="C10" s="8">
        <v>652.82000000000005</v>
      </c>
      <c r="D10" s="15">
        <v>126.68</v>
      </c>
      <c r="E10" s="9">
        <v>28.95</v>
      </c>
      <c r="F10" s="10">
        <f t="shared" si="3"/>
        <v>2915.5099999999998</v>
      </c>
      <c r="G10" s="9">
        <v>541.98</v>
      </c>
      <c r="H10" s="9">
        <f>1689.47-6.26</f>
        <v>1683.21</v>
      </c>
      <c r="I10" s="9">
        <v>35.659999999999997</v>
      </c>
      <c r="J10" s="9">
        <v>475.36</v>
      </c>
      <c r="K10" s="9">
        <v>37.6</v>
      </c>
      <c r="L10" s="9">
        <v>141.69999999999999</v>
      </c>
      <c r="M10" s="9">
        <v>0</v>
      </c>
      <c r="N10" s="11">
        <f t="shared" si="0"/>
        <v>2915.5099999999998</v>
      </c>
      <c r="O10" s="11">
        <f t="shared" si="1"/>
        <v>0</v>
      </c>
      <c r="P10" s="16"/>
      <c r="Q10" s="12"/>
      <c r="R10" s="13"/>
      <c r="S10" s="14">
        <f t="shared" si="2"/>
        <v>-541.98</v>
      </c>
    </row>
    <row r="11" spans="1:19" x14ac:dyDescent="0.25">
      <c r="A11" s="7">
        <f>'[1]Cash Variance'!A12</f>
        <v>45848</v>
      </c>
      <c r="B11" s="8">
        <v>2693.14</v>
      </c>
      <c r="C11" s="8">
        <v>710.63</v>
      </c>
      <c r="D11" s="9">
        <v>161.85</v>
      </c>
      <c r="E11" s="9">
        <v>43.17</v>
      </c>
      <c r="F11" s="10">
        <f t="shared" si="3"/>
        <v>3608.79</v>
      </c>
      <c r="G11" s="9">
        <v>500.24</v>
      </c>
      <c r="H11" s="9">
        <f>2383.18+13.36</f>
        <v>2396.54</v>
      </c>
      <c r="I11" s="9">
        <v>0</v>
      </c>
      <c r="J11" s="9">
        <v>518.54</v>
      </c>
      <c r="K11" s="9">
        <v>0</v>
      </c>
      <c r="L11" s="9">
        <v>183.47</v>
      </c>
      <c r="M11" s="9">
        <v>10</v>
      </c>
      <c r="N11" s="11">
        <f t="shared" si="0"/>
        <v>3608.7899999999995</v>
      </c>
      <c r="O11" s="11">
        <f t="shared" si="1"/>
        <v>0</v>
      </c>
      <c r="P11" s="16"/>
      <c r="Q11" s="12"/>
      <c r="R11" s="13"/>
      <c r="S11" s="14">
        <f t="shared" si="2"/>
        <v>-500.24</v>
      </c>
    </row>
    <row r="12" spans="1:19" x14ac:dyDescent="0.25">
      <c r="A12" s="7">
        <f>'[1]Cash Variance'!A13</f>
        <v>45849</v>
      </c>
      <c r="B12" s="8">
        <v>2861.01</v>
      </c>
      <c r="C12" s="8">
        <v>927.46</v>
      </c>
      <c r="D12" s="9">
        <v>172.03</v>
      </c>
      <c r="E12" s="9">
        <v>55.93</v>
      </c>
      <c r="F12" s="10">
        <f t="shared" si="3"/>
        <v>4016.4300000000003</v>
      </c>
      <c r="G12" s="9">
        <v>614.35</v>
      </c>
      <c r="H12" s="9">
        <f>2487.09-2.45</f>
        <v>2484.6400000000003</v>
      </c>
      <c r="I12" s="9">
        <v>7.94</v>
      </c>
      <c r="J12" s="9">
        <v>755.9</v>
      </c>
      <c r="K12" s="9">
        <v>42.2</v>
      </c>
      <c r="L12" s="9">
        <v>111.4</v>
      </c>
      <c r="M12" s="9">
        <v>0</v>
      </c>
      <c r="N12" s="11">
        <f t="shared" si="0"/>
        <v>4016.4300000000003</v>
      </c>
      <c r="O12" s="11">
        <f t="shared" si="1"/>
        <v>0</v>
      </c>
      <c r="P12" s="9"/>
      <c r="Q12" s="12"/>
      <c r="R12" s="13"/>
      <c r="S12" s="14">
        <f t="shared" si="2"/>
        <v>-614.35</v>
      </c>
    </row>
    <row r="13" spans="1:19" x14ac:dyDescent="0.25">
      <c r="A13" s="7">
        <f>'[1]Cash Variance'!A14</f>
        <v>45850</v>
      </c>
      <c r="B13" s="8">
        <v>2844.52</v>
      </c>
      <c r="C13" s="8">
        <v>696.64</v>
      </c>
      <c r="D13" s="9">
        <v>170.96</v>
      </c>
      <c r="E13" s="9">
        <v>66.16</v>
      </c>
      <c r="F13" s="10">
        <f t="shared" si="3"/>
        <v>3778.2799999999997</v>
      </c>
      <c r="G13" s="9">
        <v>725.19</v>
      </c>
      <c r="H13" s="9">
        <f>2360.44-8.73</f>
        <v>2351.71</v>
      </c>
      <c r="I13" s="9">
        <v>0</v>
      </c>
      <c r="J13" s="9">
        <v>567.66</v>
      </c>
      <c r="K13" s="9">
        <v>0</v>
      </c>
      <c r="L13" s="9">
        <v>133.72</v>
      </c>
      <c r="M13" s="9">
        <v>0</v>
      </c>
      <c r="N13" s="11">
        <f t="shared" si="0"/>
        <v>3778.2799999999997</v>
      </c>
      <c r="O13" s="11">
        <f t="shared" si="1"/>
        <v>0</v>
      </c>
      <c r="P13" s="9"/>
      <c r="Q13" s="12"/>
      <c r="R13" s="13"/>
      <c r="S13" s="14">
        <f t="shared" si="2"/>
        <v>-725.19</v>
      </c>
    </row>
    <row r="14" spans="1:19" x14ac:dyDescent="0.25">
      <c r="A14" s="7">
        <f>'[1]Cash Variance'!A15</f>
        <v>45851</v>
      </c>
      <c r="B14" s="8">
        <v>2244.08</v>
      </c>
      <c r="C14" s="8">
        <v>591.41</v>
      </c>
      <c r="D14" s="9">
        <v>134.86000000000001</v>
      </c>
      <c r="E14" s="9">
        <v>40.479999999999997</v>
      </c>
      <c r="F14" s="10">
        <f t="shared" si="3"/>
        <v>3010.83</v>
      </c>
      <c r="G14" s="9">
        <v>538.05999999999995</v>
      </c>
      <c r="H14" s="9">
        <f>1857.94-8.96</f>
        <v>1848.98</v>
      </c>
      <c r="I14" s="9">
        <v>27.91</v>
      </c>
      <c r="J14" s="9">
        <v>467</v>
      </c>
      <c r="K14" s="9">
        <v>0</v>
      </c>
      <c r="L14" s="9">
        <v>128.88</v>
      </c>
      <c r="M14" s="9">
        <v>0</v>
      </c>
      <c r="N14" s="11">
        <f t="shared" si="0"/>
        <v>3010.83</v>
      </c>
      <c r="O14" s="11">
        <f t="shared" si="1"/>
        <v>0</v>
      </c>
      <c r="P14" s="9"/>
      <c r="Q14" s="12"/>
      <c r="R14" s="13"/>
      <c r="S14" s="14">
        <f t="shared" si="2"/>
        <v>-538.05999999999995</v>
      </c>
    </row>
    <row r="15" spans="1:19" x14ac:dyDescent="0.25">
      <c r="A15" s="7">
        <f>'[1]Cash Variance'!A16</f>
        <v>45852</v>
      </c>
      <c r="B15" s="8">
        <v>1962.84</v>
      </c>
      <c r="C15" s="8">
        <v>505.55</v>
      </c>
      <c r="D15" s="9">
        <v>117.98</v>
      </c>
      <c r="E15" s="9">
        <v>61.04</v>
      </c>
      <c r="F15" s="10">
        <f t="shared" si="3"/>
        <v>2647.41</v>
      </c>
      <c r="G15" s="9">
        <v>456.14</v>
      </c>
      <c r="H15" s="9">
        <f>1688.29-3.77</f>
        <v>1684.52</v>
      </c>
      <c r="I15" s="9">
        <v>10.59</v>
      </c>
      <c r="J15" s="9">
        <v>379.98</v>
      </c>
      <c r="K15" s="9">
        <v>13.55</v>
      </c>
      <c r="L15" s="9">
        <v>102.63</v>
      </c>
      <c r="M15" s="9">
        <v>0</v>
      </c>
      <c r="N15" s="11">
        <f t="shared" si="0"/>
        <v>2647.4100000000003</v>
      </c>
      <c r="O15" s="11">
        <f t="shared" si="1"/>
        <v>0</v>
      </c>
      <c r="P15" s="9"/>
      <c r="Q15" s="12"/>
      <c r="R15" s="13"/>
      <c r="S15" s="14">
        <f t="shared" si="2"/>
        <v>-456.14</v>
      </c>
    </row>
    <row r="16" spans="1:19" x14ac:dyDescent="0.25">
      <c r="A16" s="7">
        <f>'[1]Cash Variance'!A17</f>
        <v>45853</v>
      </c>
      <c r="B16" s="8">
        <v>1861.94</v>
      </c>
      <c r="C16" s="8">
        <v>308.26</v>
      </c>
      <c r="D16" s="9">
        <v>111.95</v>
      </c>
      <c r="E16" s="9">
        <v>25.84</v>
      </c>
      <c r="F16" s="10">
        <f t="shared" si="3"/>
        <v>2307.9899999999998</v>
      </c>
      <c r="G16" s="9">
        <v>475.06</v>
      </c>
      <c r="H16" s="9">
        <f>1536.64-2.49</f>
        <v>1534.15</v>
      </c>
      <c r="I16" s="9">
        <v>8.99</v>
      </c>
      <c r="J16" s="9">
        <v>233.72</v>
      </c>
      <c r="K16" s="9">
        <v>38.450000000000003</v>
      </c>
      <c r="L16" s="9">
        <v>17.62</v>
      </c>
      <c r="M16" s="9">
        <v>0</v>
      </c>
      <c r="N16" s="11">
        <f t="shared" si="0"/>
        <v>2307.9899999999998</v>
      </c>
      <c r="O16" s="11">
        <f t="shared" si="1"/>
        <v>0</v>
      </c>
      <c r="P16" s="9"/>
      <c r="Q16" s="12"/>
      <c r="R16" s="13"/>
      <c r="S16" s="14">
        <f t="shared" si="2"/>
        <v>-475.06</v>
      </c>
    </row>
    <row r="17" spans="1:19" x14ac:dyDescent="0.25">
      <c r="A17" s="7">
        <f>'[1]Cash Variance'!A18</f>
        <v>45854</v>
      </c>
      <c r="B17" s="8">
        <v>2203.14</v>
      </c>
      <c r="C17" s="8">
        <v>410.31</v>
      </c>
      <c r="D17" s="9">
        <v>132.47</v>
      </c>
      <c r="E17" s="9">
        <v>44.23</v>
      </c>
      <c r="F17" s="10">
        <f t="shared" si="3"/>
        <v>2790.1499999999996</v>
      </c>
      <c r="G17" s="9">
        <v>448.63</v>
      </c>
      <c r="H17" s="9">
        <f>1931.21-2</f>
        <v>1929.21</v>
      </c>
      <c r="I17" s="9">
        <v>0</v>
      </c>
      <c r="J17" s="9">
        <v>255.26</v>
      </c>
      <c r="K17" s="9">
        <v>89.3</v>
      </c>
      <c r="L17" s="9">
        <v>67.75</v>
      </c>
      <c r="M17" s="9">
        <v>0</v>
      </c>
      <c r="N17" s="11">
        <f t="shared" si="0"/>
        <v>2790.1500000000005</v>
      </c>
      <c r="O17" s="11">
        <f t="shared" si="1"/>
        <v>0</v>
      </c>
      <c r="P17" s="9">
        <f>16845-4445.92</f>
        <v>12399.08</v>
      </c>
      <c r="Q17" s="12">
        <v>45860</v>
      </c>
      <c r="R17" s="13"/>
      <c r="S17" s="14">
        <f t="shared" si="2"/>
        <v>11950.45</v>
      </c>
    </row>
    <row r="18" spans="1:19" x14ac:dyDescent="0.25">
      <c r="A18" s="7">
        <f>'[1]Cash Variance'!A19</f>
        <v>45855</v>
      </c>
      <c r="B18" s="8">
        <v>2100.5300000000002</v>
      </c>
      <c r="C18" s="8">
        <v>476.08</v>
      </c>
      <c r="D18" s="9">
        <v>126.27</v>
      </c>
      <c r="E18" s="9">
        <v>72.95</v>
      </c>
      <c r="F18" s="10">
        <f t="shared" si="3"/>
        <v>2775.83</v>
      </c>
      <c r="G18" s="9">
        <v>493.38</v>
      </c>
      <c r="H18" s="9">
        <f>1813.36-2</f>
        <v>1811.36</v>
      </c>
      <c r="I18" s="9">
        <v>0</v>
      </c>
      <c r="J18" s="9">
        <v>400.04</v>
      </c>
      <c r="K18" s="9">
        <v>18.91</v>
      </c>
      <c r="L18" s="9">
        <v>52.14</v>
      </c>
      <c r="M18" s="9">
        <v>0</v>
      </c>
      <c r="N18" s="11">
        <f t="shared" si="0"/>
        <v>2775.8299999999995</v>
      </c>
      <c r="O18" s="11">
        <f t="shared" si="1"/>
        <v>0</v>
      </c>
      <c r="P18" s="9"/>
      <c r="Q18" s="12"/>
      <c r="R18" s="13"/>
      <c r="S18" s="14">
        <f t="shared" si="2"/>
        <v>-493.38</v>
      </c>
    </row>
    <row r="19" spans="1:19" x14ac:dyDescent="0.25">
      <c r="A19" s="7">
        <f>'[1]Cash Variance'!A20</f>
        <v>45856</v>
      </c>
      <c r="B19" s="8">
        <v>3322.43</v>
      </c>
      <c r="C19" s="8">
        <v>675.61</v>
      </c>
      <c r="D19" s="9">
        <v>198.5</v>
      </c>
      <c r="E19" s="9">
        <v>51.46</v>
      </c>
      <c r="F19" s="10">
        <f t="shared" si="3"/>
        <v>4248</v>
      </c>
      <c r="G19" s="9">
        <v>748.66</v>
      </c>
      <c r="H19" s="9">
        <f>2851.91-13.74</f>
        <v>2838.17</v>
      </c>
      <c r="I19" s="9">
        <v>0</v>
      </c>
      <c r="J19" s="9">
        <v>490.4</v>
      </c>
      <c r="K19" s="9">
        <v>19.100000000000001</v>
      </c>
      <c r="L19" s="9">
        <v>151.66999999999999</v>
      </c>
      <c r="M19" s="9">
        <v>0</v>
      </c>
      <c r="N19" s="11">
        <f t="shared" si="0"/>
        <v>4248</v>
      </c>
      <c r="O19" s="11">
        <f t="shared" si="1"/>
        <v>0</v>
      </c>
      <c r="P19" s="16"/>
      <c r="Q19" s="12"/>
      <c r="R19" s="13"/>
      <c r="S19" s="14">
        <f t="shared" si="2"/>
        <v>-748.66</v>
      </c>
    </row>
    <row r="20" spans="1:19" x14ac:dyDescent="0.25">
      <c r="A20" s="7">
        <f>'[1]Cash Variance'!A21</f>
        <v>45857</v>
      </c>
      <c r="B20" s="8">
        <v>2984.29</v>
      </c>
      <c r="C20" s="8">
        <v>565.03</v>
      </c>
      <c r="D20" s="9">
        <v>179.44</v>
      </c>
      <c r="E20" s="9">
        <v>44.08</v>
      </c>
      <c r="F20" s="10">
        <f t="shared" si="3"/>
        <v>3772.8399999999997</v>
      </c>
      <c r="G20" s="9">
        <v>766.21</v>
      </c>
      <c r="H20" s="9">
        <v>2450.58</v>
      </c>
      <c r="I20" s="9">
        <v>0</v>
      </c>
      <c r="J20" s="9">
        <v>444.71</v>
      </c>
      <c r="K20" s="9">
        <v>29.69</v>
      </c>
      <c r="L20" s="9">
        <v>81.650000000000006</v>
      </c>
      <c r="M20" s="9">
        <v>0</v>
      </c>
      <c r="N20" s="11">
        <f t="shared" si="0"/>
        <v>3772.84</v>
      </c>
      <c r="O20" s="11">
        <f t="shared" si="1"/>
        <v>0</v>
      </c>
      <c r="P20" s="16"/>
      <c r="Q20" s="12"/>
      <c r="R20" s="13"/>
      <c r="S20" s="14">
        <f t="shared" si="2"/>
        <v>-766.21</v>
      </c>
    </row>
    <row r="21" spans="1:19" x14ac:dyDescent="0.25">
      <c r="A21" s="7">
        <f>'[1]Cash Variance'!A22</f>
        <v>45858</v>
      </c>
      <c r="B21" s="8">
        <v>2217.36</v>
      </c>
      <c r="C21" s="8">
        <v>617.54999999999995</v>
      </c>
      <c r="D21" s="9">
        <v>133.32</v>
      </c>
      <c r="E21" s="9">
        <v>37.1</v>
      </c>
      <c r="F21" s="10">
        <f t="shared" si="3"/>
        <v>3005.33</v>
      </c>
      <c r="G21" s="9">
        <v>618.71</v>
      </c>
      <c r="H21" s="9">
        <v>1787.54</v>
      </c>
      <c r="I21" s="9">
        <v>0</v>
      </c>
      <c r="J21" s="9">
        <v>505.75</v>
      </c>
      <c r="K21" s="9">
        <v>30.55</v>
      </c>
      <c r="L21" s="9">
        <v>62.78</v>
      </c>
      <c r="M21" s="9">
        <v>0</v>
      </c>
      <c r="N21" s="11">
        <f t="shared" si="0"/>
        <v>3005.3300000000004</v>
      </c>
      <c r="O21" s="11">
        <f t="shared" si="1"/>
        <v>0</v>
      </c>
      <c r="P21" s="9"/>
      <c r="Q21" s="12"/>
      <c r="R21" s="13"/>
      <c r="S21" s="14">
        <f t="shared" si="2"/>
        <v>-618.71</v>
      </c>
    </row>
    <row r="22" spans="1:19" x14ac:dyDescent="0.25">
      <c r="A22" s="7">
        <f>'[1]Cash Variance'!A23</f>
        <v>45859</v>
      </c>
      <c r="B22" s="8">
        <v>2417.87</v>
      </c>
      <c r="C22" s="8">
        <v>642.65</v>
      </c>
      <c r="D22" s="9">
        <v>145.36000000000001</v>
      </c>
      <c r="E22" s="9">
        <v>52.93</v>
      </c>
      <c r="F22" s="10">
        <f t="shared" si="3"/>
        <v>3258.81</v>
      </c>
      <c r="G22" s="9">
        <v>430.36</v>
      </c>
      <c r="H22" s="9">
        <v>2204.27</v>
      </c>
      <c r="I22" s="9">
        <v>8.4600000000000009</v>
      </c>
      <c r="J22" s="9">
        <v>480.94</v>
      </c>
      <c r="K22" s="9">
        <v>15.51</v>
      </c>
      <c r="L22" s="9">
        <v>119.26</v>
      </c>
      <c r="M22" s="9">
        <v>0</v>
      </c>
      <c r="N22" s="11">
        <f t="shared" si="0"/>
        <v>3258.8000000000006</v>
      </c>
      <c r="O22" s="11">
        <f t="shared" si="1"/>
        <v>9.999999999308784E-3</v>
      </c>
      <c r="P22" s="16"/>
      <c r="Q22" s="12"/>
      <c r="R22" s="13"/>
      <c r="S22" s="14">
        <f t="shared" si="2"/>
        <v>-430.36</v>
      </c>
    </row>
    <row r="23" spans="1:19" x14ac:dyDescent="0.25">
      <c r="A23" s="7">
        <f>'[1]Cash Variance'!A24</f>
        <v>45860</v>
      </c>
      <c r="B23" s="8">
        <v>2127.6799999999998</v>
      </c>
      <c r="C23" s="8">
        <v>530.61</v>
      </c>
      <c r="D23" s="9">
        <v>127.93</v>
      </c>
      <c r="E23" s="9">
        <v>42.74</v>
      </c>
      <c r="F23" s="10">
        <f t="shared" si="3"/>
        <v>2828.9599999999996</v>
      </c>
      <c r="G23" s="9">
        <v>639.54999999999995</v>
      </c>
      <c r="H23" s="9">
        <v>1600.48</v>
      </c>
      <c r="I23" s="9">
        <v>73.569999999999993</v>
      </c>
      <c r="J23" s="9">
        <v>434.15</v>
      </c>
      <c r="K23" s="9">
        <v>19.7</v>
      </c>
      <c r="L23" s="9">
        <v>61.51</v>
      </c>
      <c r="M23" s="9">
        <v>0</v>
      </c>
      <c r="N23" s="11">
        <f t="shared" si="0"/>
        <v>2828.96</v>
      </c>
      <c r="O23" s="11">
        <f t="shared" si="1"/>
        <v>0</v>
      </c>
      <c r="P23" s="16"/>
      <c r="Q23" s="12"/>
      <c r="R23" s="13"/>
      <c r="S23" s="14">
        <f t="shared" si="2"/>
        <v>-639.54999999999995</v>
      </c>
    </row>
    <row r="24" spans="1:19" x14ac:dyDescent="0.25">
      <c r="A24" s="7">
        <f>'[1]Cash Variance'!A25</f>
        <v>45861</v>
      </c>
      <c r="B24" s="8">
        <v>1939.71</v>
      </c>
      <c r="C24" s="8">
        <v>871.37</v>
      </c>
      <c r="D24" s="9">
        <v>116.6</v>
      </c>
      <c r="E24" s="9">
        <v>56.48</v>
      </c>
      <c r="F24" s="10">
        <f t="shared" si="3"/>
        <v>2984.16</v>
      </c>
      <c r="G24" s="9">
        <v>460.02</v>
      </c>
      <c r="H24" s="9">
        <v>1664.25</v>
      </c>
      <c r="I24" s="9">
        <v>0</v>
      </c>
      <c r="J24" s="9">
        <v>665.76</v>
      </c>
      <c r="K24" s="9">
        <v>34.04</v>
      </c>
      <c r="L24" s="9">
        <v>160.09</v>
      </c>
      <c r="M24" s="9">
        <v>0</v>
      </c>
      <c r="N24" s="11">
        <f t="shared" si="0"/>
        <v>2984.16</v>
      </c>
      <c r="O24" s="11">
        <f t="shared" si="1"/>
        <v>0</v>
      </c>
      <c r="P24" s="9"/>
      <c r="Q24" s="12"/>
      <c r="R24" s="13"/>
      <c r="S24" s="14">
        <f t="shared" si="2"/>
        <v>-460.02</v>
      </c>
    </row>
    <row r="25" spans="1:19" x14ac:dyDescent="0.25">
      <c r="A25" s="7">
        <f>'[1]Cash Variance'!A26</f>
        <v>45862</v>
      </c>
      <c r="B25" s="8">
        <v>2529.4499999999998</v>
      </c>
      <c r="C25" s="8">
        <v>747.15</v>
      </c>
      <c r="D25" s="9">
        <v>152.04</v>
      </c>
      <c r="E25" s="9">
        <v>51.879999999999903</v>
      </c>
      <c r="F25" s="10">
        <f t="shared" si="3"/>
        <v>3480.52</v>
      </c>
      <c r="G25" s="9">
        <v>600.84</v>
      </c>
      <c r="H25" s="9">
        <v>2128.2800000000002</v>
      </c>
      <c r="I25" s="9">
        <v>13.23</v>
      </c>
      <c r="J25" s="9">
        <v>664.17</v>
      </c>
      <c r="K25" s="9">
        <v>16.11</v>
      </c>
      <c r="L25" s="9">
        <v>57.89</v>
      </c>
      <c r="M25" s="9">
        <v>0</v>
      </c>
      <c r="N25" s="11">
        <f t="shared" si="0"/>
        <v>3480.5200000000004</v>
      </c>
      <c r="O25" s="11">
        <f t="shared" si="1"/>
        <v>0</v>
      </c>
      <c r="P25" s="16"/>
      <c r="Q25" s="12"/>
      <c r="R25" s="13"/>
      <c r="S25" s="14">
        <f t="shared" si="2"/>
        <v>-600.84</v>
      </c>
    </row>
    <row r="26" spans="1:19" x14ac:dyDescent="0.25">
      <c r="A26" s="7">
        <f>'[1]Cash Variance'!A27</f>
        <v>45863</v>
      </c>
      <c r="B26" s="9">
        <v>3604.89</v>
      </c>
      <c r="C26" s="9">
        <v>688.45</v>
      </c>
      <c r="D26" s="9">
        <v>216.72</v>
      </c>
      <c r="E26" s="9">
        <v>65.790000000000006</v>
      </c>
      <c r="F26" s="10">
        <f>SUM(B26:E26)</f>
        <v>4575.8500000000004</v>
      </c>
      <c r="G26" s="9">
        <v>1053.98</v>
      </c>
      <c r="H26" s="9">
        <v>2823.59</v>
      </c>
      <c r="I26" s="9">
        <v>27.53</v>
      </c>
      <c r="J26" s="9">
        <v>517.75</v>
      </c>
      <c r="K26" s="9">
        <v>40.299999999999997</v>
      </c>
      <c r="L26" s="9">
        <v>112.7</v>
      </c>
      <c r="M26" s="9">
        <v>0</v>
      </c>
      <c r="N26" s="11">
        <f t="shared" si="0"/>
        <v>4575.8500000000004</v>
      </c>
      <c r="O26" s="11">
        <f t="shared" si="1"/>
        <v>0</v>
      </c>
      <c r="P26" s="9"/>
      <c r="Q26" s="12"/>
      <c r="R26" s="13"/>
      <c r="S26" s="14">
        <f t="shared" si="2"/>
        <v>-1053.98</v>
      </c>
    </row>
    <row r="27" spans="1:19" x14ac:dyDescent="0.25">
      <c r="A27" s="7">
        <f>'[1]Cash Variance'!A28</f>
        <v>45864</v>
      </c>
      <c r="B27" s="8">
        <v>3174.71</v>
      </c>
      <c r="C27" s="8">
        <v>587.15</v>
      </c>
      <c r="D27" s="9">
        <v>190.85</v>
      </c>
      <c r="E27" s="9">
        <v>49.48</v>
      </c>
      <c r="F27" s="10">
        <f t="shared" si="3"/>
        <v>4002.19</v>
      </c>
      <c r="G27" s="9">
        <v>960.43</v>
      </c>
      <c r="H27" s="9">
        <v>2442.15</v>
      </c>
      <c r="I27" s="9">
        <v>16.940000000000001</v>
      </c>
      <c r="J27" s="9">
        <v>487.89</v>
      </c>
      <c r="K27" s="9">
        <v>0</v>
      </c>
      <c r="L27" s="9">
        <v>94.77</v>
      </c>
      <c r="M27" s="9">
        <v>0</v>
      </c>
      <c r="N27" s="11">
        <f t="shared" si="0"/>
        <v>4002.18</v>
      </c>
      <c r="O27" s="11">
        <f t="shared" si="1"/>
        <v>1.0000000000218279E-2</v>
      </c>
      <c r="P27" s="9"/>
      <c r="Q27" s="12"/>
      <c r="R27" s="13"/>
      <c r="S27" s="14">
        <f t="shared" si="2"/>
        <v>-960.43</v>
      </c>
    </row>
    <row r="28" spans="1:19" x14ac:dyDescent="0.25">
      <c r="A28" s="7">
        <f>'[1]Cash Variance'!A29</f>
        <v>45865</v>
      </c>
      <c r="B28" s="17">
        <v>2364.39</v>
      </c>
      <c r="C28" s="8">
        <v>563.76</v>
      </c>
      <c r="D28" s="9">
        <v>142.13999999999999</v>
      </c>
      <c r="E28" s="9">
        <v>54.06</v>
      </c>
      <c r="F28" s="10">
        <f t="shared" si="3"/>
        <v>3124.3499999999995</v>
      </c>
      <c r="G28" s="9">
        <v>505.33</v>
      </c>
      <c r="H28" s="9">
        <v>2047.19</v>
      </c>
      <c r="I28" s="9">
        <v>16.41</v>
      </c>
      <c r="J28" s="9">
        <v>410.27</v>
      </c>
      <c r="K28" s="9">
        <v>20.7</v>
      </c>
      <c r="L28" s="9">
        <v>119.32</v>
      </c>
      <c r="M28" s="9">
        <v>5.12</v>
      </c>
      <c r="N28" s="11">
        <f t="shared" si="0"/>
        <v>3124.3399999999997</v>
      </c>
      <c r="O28" s="11">
        <f t="shared" si="1"/>
        <v>9.9999999997635314E-3</v>
      </c>
      <c r="P28" s="9"/>
      <c r="Q28" s="12"/>
      <c r="R28" s="13"/>
      <c r="S28" s="14">
        <f t="shared" si="2"/>
        <v>-505.33</v>
      </c>
    </row>
    <row r="29" spans="1:19" x14ac:dyDescent="0.25">
      <c r="A29" s="7">
        <f>'[1]Cash Variance'!A30</f>
        <v>45866</v>
      </c>
      <c r="B29" s="17">
        <v>2208.37</v>
      </c>
      <c r="C29" s="8">
        <v>584.57000000000005</v>
      </c>
      <c r="D29" s="9">
        <v>132.80000000000001</v>
      </c>
      <c r="E29" s="9">
        <v>29.459999999999901</v>
      </c>
      <c r="F29" s="10">
        <f t="shared" si="3"/>
        <v>2955.2000000000003</v>
      </c>
      <c r="G29" s="9">
        <v>702.25</v>
      </c>
      <c r="H29" s="9">
        <v>1662.41</v>
      </c>
      <c r="I29" s="9">
        <v>8.4700000000000006</v>
      </c>
      <c r="J29" s="9">
        <v>517.80999999999995</v>
      </c>
      <c r="K29" s="9">
        <v>45.37</v>
      </c>
      <c r="L29" s="9">
        <v>18.89</v>
      </c>
      <c r="M29" s="9">
        <v>0</v>
      </c>
      <c r="N29" s="11">
        <f t="shared" si="0"/>
        <v>2955.1999999999994</v>
      </c>
      <c r="O29" s="11">
        <f t="shared" si="1"/>
        <v>0</v>
      </c>
      <c r="P29" s="9"/>
      <c r="Q29" s="12"/>
      <c r="R29" s="13"/>
      <c r="S29" s="14">
        <f t="shared" si="2"/>
        <v>-702.25</v>
      </c>
    </row>
    <row r="30" spans="1:19" x14ac:dyDescent="0.25">
      <c r="A30" s="7">
        <f>'[1]Cash Variance'!A31</f>
        <v>45867</v>
      </c>
      <c r="B30" s="17">
        <v>1948.3</v>
      </c>
      <c r="C30" s="8">
        <v>612.71</v>
      </c>
      <c r="D30" s="9">
        <v>117.19</v>
      </c>
      <c r="E30" s="9">
        <v>20.059999999999999</v>
      </c>
      <c r="F30" s="10">
        <f t="shared" si="3"/>
        <v>2698.26</v>
      </c>
      <c r="G30" s="9">
        <v>464.93</v>
      </c>
      <c r="H30" s="9">
        <v>1625.11</v>
      </c>
      <c r="I30" s="9">
        <v>0</v>
      </c>
      <c r="J30" s="9">
        <v>492.43</v>
      </c>
      <c r="K30" s="9">
        <v>0</v>
      </c>
      <c r="L30" s="9">
        <v>115.79</v>
      </c>
      <c r="M30" s="9">
        <v>0</v>
      </c>
      <c r="N30" s="11">
        <f t="shared" si="0"/>
        <v>2698.2599999999998</v>
      </c>
      <c r="O30" s="11">
        <f t="shared" si="1"/>
        <v>0</v>
      </c>
      <c r="P30" s="16"/>
      <c r="Q30" s="12"/>
      <c r="R30" s="13"/>
      <c r="S30" s="14">
        <f t="shared" si="2"/>
        <v>-464.93</v>
      </c>
    </row>
    <row r="31" spans="1:19" x14ac:dyDescent="0.25">
      <c r="A31" s="7">
        <f>'[1]Cash Variance'!A32</f>
        <v>45868</v>
      </c>
      <c r="B31" s="17">
        <v>2308.5</v>
      </c>
      <c r="C31" s="8">
        <v>640.42999999999995</v>
      </c>
      <c r="D31" s="9">
        <v>138.77000000000001</v>
      </c>
      <c r="E31" s="9">
        <v>43.71</v>
      </c>
      <c r="F31" s="10">
        <f t="shared" si="3"/>
        <v>3131.41</v>
      </c>
      <c r="G31" s="9">
        <v>577.64</v>
      </c>
      <c r="H31" s="9">
        <v>1909.36</v>
      </c>
      <c r="I31" s="9">
        <v>8.4700000000000006</v>
      </c>
      <c r="J31" s="9">
        <v>472.16</v>
      </c>
      <c r="K31" s="9">
        <v>33.67</v>
      </c>
      <c r="L31" s="9">
        <v>130.11000000000001</v>
      </c>
      <c r="M31" s="9">
        <v>0</v>
      </c>
      <c r="N31" s="11">
        <f t="shared" si="0"/>
        <v>3131.41</v>
      </c>
      <c r="O31" s="11">
        <f t="shared" si="1"/>
        <v>0</v>
      </c>
      <c r="P31" s="9"/>
      <c r="Q31" s="12"/>
      <c r="R31" s="13"/>
      <c r="S31" s="14">
        <f t="shared" si="2"/>
        <v>-577.64</v>
      </c>
    </row>
    <row r="32" spans="1:19" ht="15.75" thickBot="1" x14ac:dyDescent="0.3">
      <c r="A32" s="7">
        <f>'[1]Cash Variance'!A33</f>
        <v>45869</v>
      </c>
      <c r="B32" s="17">
        <v>2523.12</v>
      </c>
      <c r="C32" s="8">
        <v>761.51</v>
      </c>
      <c r="D32" s="9">
        <v>151.66999999999999</v>
      </c>
      <c r="E32" s="9">
        <v>47.85</v>
      </c>
      <c r="F32" s="10">
        <f t="shared" si="3"/>
        <v>3484.15</v>
      </c>
      <c r="G32" s="9">
        <v>693.84</v>
      </c>
      <c r="H32" s="9">
        <f>2038.29-7.5</f>
        <v>2030.79</v>
      </c>
      <c r="I32" s="9">
        <v>8.4700000000000006</v>
      </c>
      <c r="J32" s="9">
        <v>598.20000000000005</v>
      </c>
      <c r="K32" s="9">
        <v>19.7</v>
      </c>
      <c r="L32" s="9">
        <v>133.15</v>
      </c>
      <c r="M32" s="9">
        <v>0</v>
      </c>
      <c r="N32" s="11">
        <f t="shared" si="0"/>
        <v>3484.15</v>
      </c>
      <c r="O32" s="11">
        <f t="shared" si="1"/>
        <v>0</v>
      </c>
      <c r="P32" s="9"/>
      <c r="Q32" s="12"/>
      <c r="R32" s="13"/>
      <c r="S32" s="14">
        <f t="shared" si="2"/>
        <v>-693.84</v>
      </c>
    </row>
    <row r="33" spans="1:19" ht="15.75" thickBot="1" x14ac:dyDescent="0.3">
      <c r="A33" s="18" t="s">
        <v>8</v>
      </c>
      <c r="B33" s="19">
        <f t="shared" ref="B33:M33" si="4">SUM(B2:B32)</f>
        <v>76276.189999999988</v>
      </c>
      <c r="C33" s="19">
        <f t="shared" si="4"/>
        <v>19359.149999999998</v>
      </c>
      <c r="D33" s="19">
        <f t="shared" si="4"/>
        <v>4584.4999999999991</v>
      </c>
      <c r="E33" s="19">
        <f>SUM(E2:E32)</f>
        <v>1452.6399999999996</v>
      </c>
      <c r="F33" s="20">
        <f>SUM(F2:F32)</f>
        <v>101672.48000000001</v>
      </c>
      <c r="G33" s="19">
        <f t="shared" si="4"/>
        <v>19205.53</v>
      </c>
      <c r="H33" s="19">
        <f>SUM(H2:H32)</f>
        <v>62879.340000000011</v>
      </c>
      <c r="I33" s="19">
        <f t="shared" si="4"/>
        <v>434.59000000000015</v>
      </c>
      <c r="J33" s="19">
        <f t="shared" si="4"/>
        <v>14822</v>
      </c>
      <c r="K33" s="19">
        <f t="shared" si="4"/>
        <v>794.54000000000008</v>
      </c>
      <c r="L33" s="19">
        <f t="shared" si="4"/>
        <v>3506.380000000001</v>
      </c>
      <c r="M33" s="19">
        <f t="shared" si="4"/>
        <v>30.07</v>
      </c>
      <c r="N33" s="20">
        <f>SUM(N2:N32)</f>
        <v>101672.45000000001</v>
      </c>
      <c r="O33" s="20">
        <f t="shared" ref="O33:R33" si="5">SUM(O2:O32)</f>
        <v>2.9999999999290594E-2</v>
      </c>
      <c r="P33" s="19">
        <f>SUM(P2:P32)</f>
        <v>12399.08</v>
      </c>
      <c r="Q33" s="19"/>
      <c r="R33" s="19">
        <f t="shared" si="5"/>
        <v>0</v>
      </c>
      <c r="S33" s="20">
        <f>SUM(S2:S32)</f>
        <v>-6806.4499999999989</v>
      </c>
    </row>
    <row r="34" spans="1:19" x14ac:dyDescent="0.25">
      <c r="A34" s="21" t="s">
        <v>0</v>
      </c>
      <c r="B34" s="22">
        <f>+B33</f>
        <v>76276.189999999988</v>
      </c>
      <c r="C34" s="22">
        <f>+C33</f>
        <v>19359.149999999998</v>
      </c>
      <c r="D34" s="22">
        <f>+D33</f>
        <v>4584.4999999999991</v>
      </c>
      <c r="E34" s="22">
        <f>+E33</f>
        <v>1452.6399999999996</v>
      </c>
      <c r="F34" s="21"/>
      <c r="G34" s="22">
        <f>+G33</f>
        <v>19205.53</v>
      </c>
      <c r="H34" s="21"/>
      <c r="I34" s="21"/>
      <c r="J34" s="22">
        <f>+J33</f>
        <v>14822</v>
      </c>
      <c r="K34" s="22">
        <f>+K33</f>
        <v>794.54000000000008</v>
      </c>
      <c r="L34" s="22">
        <f>+L33</f>
        <v>3506.380000000001</v>
      </c>
      <c r="M34" s="22">
        <f>+M33</f>
        <v>30.07</v>
      </c>
      <c r="N34" s="21"/>
      <c r="O34" s="21"/>
      <c r="P34" s="21"/>
      <c r="Q34" s="21"/>
      <c r="R34" s="21"/>
    </row>
    <row r="35" spans="1:19" x14ac:dyDescent="0.25">
      <c r="A35" s="23" t="s">
        <v>9</v>
      </c>
      <c r="B35" s="24">
        <f>+B33</f>
        <v>76276.189999999988</v>
      </c>
      <c r="C35" s="24">
        <f>+C33</f>
        <v>19359.149999999998</v>
      </c>
      <c r="D35" s="24">
        <f>+D33</f>
        <v>4584.4999999999991</v>
      </c>
      <c r="E35" s="24">
        <f>+E33</f>
        <v>1452.6399999999996</v>
      </c>
      <c r="F35" s="23"/>
      <c r="G35" s="24">
        <f>+G33</f>
        <v>19205.53</v>
      </c>
      <c r="H35" s="23"/>
      <c r="I35" s="23"/>
      <c r="J35" s="24">
        <f>+J33</f>
        <v>14822</v>
      </c>
      <c r="K35" s="24">
        <f>+K33</f>
        <v>794.54000000000008</v>
      </c>
      <c r="L35" s="24">
        <f>+L33</f>
        <v>3506.380000000001</v>
      </c>
      <c r="M35" s="24">
        <f>+M33</f>
        <v>30.07</v>
      </c>
      <c r="N35" s="23"/>
      <c r="O35" s="23"/>
      <c r="P35" s="23"/>
      <c r="Q35" s="23"/>
      <c r="R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1" t="s">
        <v>10</v>
      </c>
      <c r="I36" s="31"/>
      <c r="J36" s="26">
        <v>17741.55</v>
      </c>
      <c r="K36" s="25">
        <f>887.65-44.38</f>
        <v>843.27</v>
      </c>
      <c r="L36" s="25">
        <v>4393.91</v>
      </c>
      <c r="M36" s="23"/>
      <c r="N36" s="23"/>
      <c r="O36" s="23"/>
      <c r="P36" s="23"/>
      <c r="Q36" s="23"/>
      <c r="R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1" t="s">
        <v>11</v>
      </c>
      <c r="I37" s="31"/>
      <c r="J37" s="27">
        <f>+J36-J33</f>
        <v>2919.5499999999993</v>
      </c>
      <c r="K37" s="28">
        <f>+K36-K33</f>
        <v>48.729999999999905</v>
      </c>
      <c r="L37" s="28">
        <f>+L36-L33</f>
        <v>887.52999999999884</v>
      </c>
      <c r="M37" s="23"/>
      <c r="N37" s="23"/>
      <c r="O37" s="23"/>
      <c r="P37" s="23"/>
      <c r="Q37" s="23"/>
      <c r="R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1" t="s">
        <v>12</v>
      </c>
      <c r="I38" s="31"/>
      <c r="J38" s="26">
        <v>-3074.26</v>
      </c>
      <c r="K38" s="25">
        <v>-84.09</v>
      </c>
      <c r="L38" s="25">
        <f>-728.73+313.1</f>
        <v>-415.63</v>
      </c>
      <c r="M38" s="23"/>
      <c r="N38" s="23"/>
      <c r="O38" s="23"/>
      <c r="P38" s="23"/>
      <c r="Q38" s="23"/>
      <c r="R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1" t="s">
        <v>13</v>
      </c>
      <c r="I39" s="31"/>
      <c r="J39" s="26">
        <v>-3243.55</v>
      </c>
      <c r="K39" s="25">
        <f>-75.47-46.27</f>
        <v>-121.74000000000001</v>
      </c>
      <c r="L39" s="25">
        <v>-887.53</v>
      </c>
      <c r="M39" s="23"/>
      <c r="N39" s="23"/>
      <c r="O39" s="23"/>
      <c r="P39" s="23"/>
      <c r="Q39" s="23"/>
      <c r="R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1" t="s">
        <v>14</v>
      </c>
      <c r="I40" s="31"/>
      <c r="J40" s="26">
        <v>-146.66</v>
      </c>
      <c r="K40" s="25">
        <v>-48.42</v>
      </c>
      <c r="L40" s="25">
        <v>-10.35</v>
      </c>
      <c r="M40" s="23"/>
      <c r="N40" s="23"/>
      <c r="O40" s="23"/>
      <c r="P40" s="23"/>
      <c r="Q40" s="23"/>
      <c r="R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2" t="s">
        <v>15</v>
      </c>
      <c r="I41" s="32"/>
      <c r="J41" s="29">
        <f>+J36+J38+J39+J40</f>
        <v>11277.079999999998</v>
      </c>
      <c r="K41" s="30">
        <f>+K36+K38+K39+K40</f>
        <v>589.02</v>
      </c>
      <c r="L41" s="30">
        <f>+L36+L38+L39+L40</f>
        <v>3080.4</v>
      </c>
      <c r="M41" s="23"/>
      <c r="N41" s="23"/>
      <c r="O41" s="23"/>
      <c r="P41" s="23"/>
      <c r="Q41" s="23"/>
      <c r="R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2025-08-20T12:41:35Z</dcterms:created>
  <dcterms:modified xsi:type="dcterms:W3CDTF">2025-10-07T06:08:02Z</dcterms:modified>
</cp:coreProperties>
</file>