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118A5AE-EDFA-4791-A644-641C47FE93DB}" xr6:coauthVersionLast="47" xr6:coauthVersionMax="47" xr10:uidLastSave="{00000000-0000-0000-0000-000000000000}"/>
  <bookViews>
    <workbookView xWindow="-120" yWindow="-120" windowWidth="20730" windowHeight="11040" xr2:uid="{2D47BC17-F05B-4B80-85AE-04E5995F7E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" l="1"/>
  <c r="L33" i="1"/>
  <c r="J33" i="1"/>
  <c r="J34" i="1" s="1"/>
  <c r="J35" i="1" s="1"/>
  <c r="G33" i="1"/>
  <c r="G35" i="1" s="1"/>
  <c r="E33" i="1"/>
  <c r="E35" i="1" s="1"/>
  <c r="D33" i="1"/>
  <c r="D35" i="1" s="1"/>
  <c r="C33" i="1"/>
  <c r="F2" i="1"/>
  <c r="A2" i="1"/>
  <c r="L41" i="1"/>
  <c r="J41" i="1"/>
  <c r="K39" i="1"/>
  <c r="L38" i="1"/>
  <c r="K36" i="1"/>
  <c r="R33" i="1"/>
  <c r="M33" i="1"/>
  <c r="M35" i="1" s="1"/>
  <c r="L35" i="1"/>
  <c r="K33" i="1"/>
  <c r="K34" i="1" s="1"/>
  <c r="K35" i="1" s="1"/>
  <c r="I33" i="1"/>
  <c r="C35" i="1"/>
  <c r="B33" i="1"/>
  <c r="B34" i="1" s="1"/>
  <c r="B35" i="1" s="1"/>
  <c r="S32" i="1"/>
  <c r="H32" i="1"/>
  <c r="N32" i="1" s="1"/>
  <c r="F32" i="1"/>
  <c r="A32" i="1"/>
  <c r="S31" i="1"/>
  <c r="H31" i="1"/>
  <c r="N31" i="1" s="1"/>
  <c r="F31" i="1"/>
  <c r="A31" i="1"/>
  <c r="S30" i="1"/>
  <c r="N30" i="1"/>
  <c r="F30" i="1"/>
  <c r="A30" i="1"/>
  <c r="S29" i="1"/>
  <c r="N29" i="1"/>
  <c r="O29" i="1" s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O25" i="1"/>
  <c r="N25" i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P17" i="1"/>
  <c r="S17" i="1" s="1"/>
  <c r="N17" i="1"/>
  <c r="H17" i="1"/>
  <c r="F17" i="1"/>
  <c r="A17" i="1"/>
  <c r="S16" i="1"/>
  <c r="H16" i="1"/>
  <c r="N16" i="1" s="1"/>
  <c r="F16" i="1"/>
  <c r="A16" i="1"/>
  <c r="S15" i="1"/>
  <c r="N15" i="1"/>
  <c r="H15" i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O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H8" i="1"/>
  <c r="N8" i="1" s="1"/>
  <c r="F8" i="1"/>
  <c r="A8" i="1"/>
  <c r="S7" i="1"/>
  <c r="N7" i="1"/>
  <c r="O7" i="1" s="1"/>
  <c r="F7" i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O4" i="1" s="1"/>
  <c r="F4" i="1"/>
  <c r="A4" i="1"/>
  <c r="S3" i="1"/>
  <c r="H3" i="1"/>
  <c r="N3" i="1" s="1"/>
  <c r="O3" i="1" s="1"/>
  <c r="F3" i="1"/>
  <c r="A3" i="1"/>
  <c r="S2" i="1"/>
  <c r="H2" i="1"/>
  <c r="H33" i="1" s="1"/>
  <c r="A1" i="1"/>
  <c r="J37" i="1" l="1"/>
  <c r="O5" i="1"/>
  <c r="O9" i="1"/>
  <c r="O16" i="1"/>
  <c r="O27" i="1"/>
  <c r="G34" i="1"/>
  <c r="O6" i="1"/>
  <c r="O8" i="1"/>
  <c r="O22" i="1"/>
  <c r="O26" i="1"/>
  <c r="O28" i="1"/>
  <c r="O13" i="1"/>
  <c r="O15" i="1"/>
  <c r="O17" i="1"/>
  <c r="O31" i="1"/>
  <c r="O12" i="1"/>
  <c r="O30" i="1"/>
  <c r="O32" i="1"/>
  <c r="K41" i="1"/>
  <c r="P33" i="1"/>
  <c r="O18" i="1"/>
  <c r="O10" i="1"/>
  <c r="K37" i="1"/>
  <c r="L37" i="1"/>
  <c r="N2" i="1"/>
  <c r="N33" i="1" s="1"/>
  <c r="F33" i="1"/>
  <c r="L34" i="1"/>
  <c r="M34" i="1"/>
  <c r="O2" i="1" l="1"/>
  <c r="O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tc={C4A79F5C-C884-48E7-852F-EEFA8ED64E4D}</author>
  </authors>
  <commentList>
    <comment ref="P17" authorId="0" shapeId="0" xr:uid="{00BF64D0-F7CF-458B-BD69-740418EFCB3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DEPOSIT IS $7595 BUT I TAKE $2000 FOR JUNE MONTH AND $5595 FOR JULY MONTH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<sst xmlns="http://schemas.openxmlformats.org/spreadsheetml/2006/main" count="27" uniqueCount="27">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</sst>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9160-D66A-495E-94FE-622849914F21}">
  <dimension ref="A1:S42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5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6" max="16" width="9.8554687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1706.04</v>
      </c>
      <c r="C2" s="8">
        <v>656.6</v>
      </c>
      <c r="D2" s="9">
        <v>102.6</v>
      </c>
      <c r="E2" s="9">
        <v>47.56</v>
      </c>
      <c r="F2" s="10">
        <f>SUM(B2:E2)</f>
        <v>2512.7999999999997</v>
      </c>
      <c r="G2" s="9">
        <v>366.12</v>
      </c>
      <c r="H2" s="9">
        <f>1504.05-11.99</f>
        <v>1492.06</v>
      </c>
      <c r="I2" s="9">
        <v>0</v>
      </c>
      <c r="J2" s="9">
        <v>545.04999999999995</v>
      </c>
      <c r="K2" s="9">
        <v>0</v>
      </c>
      <c r="L2" s="9">
        <v>109.57</v>
      </c>
      <c r="M2" s="9">
        <v>0</v>
      </c>
      <c r="N2" s="11">
        <f t="shared" ref="N2:N32" si="0">SUM(G2:M2)</f>
        <v>2512.7999999999997</v>
      </c>
      <c r="O2" s="11">
        <f t="shared" ref="O2:O32" si="1">+F2-N2</f>
        <v>0</v>
      </c>
      <c r="P2" s="9"/>
      <c r="Q2" s="12"/>
      <c r="R2" s="13"/>
      <c r="S2" s="14">
        <f t="shared" ref="S2:S32" si="2">P2-G2-R2</f>
        <v>-366.12</v>
      </c>
    </row>
    <row r="3" spans="1:19" x14ac:dyDescent="0.25">
      <c r="A3" s="7">
        <f>'[1]Cash Variance'!A4</f>
        <v>45840</v>
      </c>
      <c r="B3" s="8">
        <v>1581.53</v>
      </c>
      <c r="C3" s="8">
        <v>684.72</v>
      </c>
      <c r="D3" s="9">
        <v>95.11</v>
      </c>
      <c r="E3" s="9">
        <v>26.08</v>
      </c>
      <c r="F3" s="10">
        <f t="shared" ref="F3:F32" si="3">SUM(B3:E3)</f>
        <v>2387.44</v>
      </c>
      <c r="G3" s="9">
        <v>173.75</v>
      </c>
      <c r="H3" s="9">
        <f>1504.69-8.94</f>
        <v>1495.75</v>
      </c>
      <c r="I3" s="9">
        <v>31.76</v>
      </c>
      <c r="J3" s="9">
        <v>489.42</v>
      </c>
      <c r="K3" s="9">
        <v>84.76</v>
      </c>
      <c r="L3" s="9">
        <v>112</v>
      </c>
      <c r="M3" s="9">
        <v>0</v>
      </c>
      <c r="N3" s="11">
        <f t="shared" si="0"/>
        <v>2387.44</v>
      </c>
      <c r="O3" s="11">
        <f t="shared" si="1"/>
        <v>0</v>
      </c>
      <c r="P3" s="9"/>
      <c r="Q3" s="12"/>
      <c r="R3" s="13"/>
      <c r="S3" s="14">
        <f t="shared" si="2"/>
        <v>-173.75</v>
      </c>
    </row>
    <row r="4" spans="1:19" x14ac:dyDescent="0.25">
      <c r="A4" s="7">
        <f>'[1]Cash Variance'!A5</f>
        <v>45841</v>
      </c>
      <c r="B4" s="8">
        <v>2298.58</v>
      </c>
      <c r="C4" s="8">
        <v>525.44000000000005</v>
      </c>
      <c r="D4" s="9">
        <v>138.16</v>
      </c>
      <c r="E4" s="9">
        <v>74.98</v>
      </c>
      <c r="F4" s="10">
        <f t="shared" si="3"/>
        <v>3037.16</v>
      </c>
      <c r="G4" s="9">
        <v>295.5</v>
      </c>
      <c r="H4" s="9">
        <f>2236.4-7.58</f>
        <v>2228.8200000000002</v>
      </c>
      <c r="I4" s="9">
        <v>0</v>
      </c>
      <c r="J4" s="9">
        <v>424.08</v>
      </c>
      <c r="K4" s="9">
        <v>31.04</v>
      </c>
      <c r="L4" s="9">
        <v>57.72</v>
      </c>
      <c r="M4" s="9">
        <v>0</v>
      </c>
      <c r="N4" s="11">
        <f t="shared" si="0"/>
        <v>3037.16</v>
      </c>
      <c r="O4" s="11">
        <f t="shared" si="1"/>
        <v>0</v>
      </c>
      <c r="P4" s="9"/>
      <c r="Q4" s="12"/>
      <c r="R4" s="13"/>
      <c r="S4" s="14">
        <f t="shared" si="2"/>
        <v>-295.5</v>
      </c>
    </row>
    <row r="5" spans="1:19" x14ac:dyDescent="0.25">
      <c r="A5" s="7">
        <f>'[1]Cash Variance'!A6</f>
        <v>45842</v>
      </c>
      <c r="B5" s="8">
        <v>1563.32</v>
      </c>
      <c r="C5" s="8">
        <v>344.37</v>
      </c>
      <c r="D5" s="9">
        <v>94.02</v>
      </c>
      <c r="E5" s="9">
        <v>59.2</v>
      </c>
      <c r="F5" s="10">
        <f t="shared" si="3"/>
        <v>2060.91</v>
      </c>
      <c r="G5" s="9">
        <v>196.45</v>
      </c>
      <c r="H5" s="9">
        <f>1471.62-2.49</f>
        <v>1469.1299999999999</v>
      </c>
      <c r="I5" s="9">
        <v>65.45</v>
      </c>
      <c r="J5" s="9">
        <v>283.76</v>
      </c>
      <c r="K5" s="9">
        <v>0</v>
      </c>
      <c r="L5" s="9">
        <v>46.12</v>
      </c>
      <c r="M5" s="9">
        <v>0</v>
      </c>
      <c r="N5" s="11">
        <f t="shared" si="0"/>
        <v>2060.91</v>
      </c>
      <c r="O5" s="11">
        <f t="shared" si="1"/>
        <v>0</v>
      </c>
      <c r="P5" s="9"/>
      <c r="Q5" s="12"/>
      <c r="R5" s="13"/>
      <c r="S5" s="14">
        <f t="shared" si="2"/>
        <v>-196.45</v>
      </c>
    </row>
    <row r="6" spans="1:19" x14ac:dyDescent="0.25">
      <c r="A6" s="7">
        <f>'[1]Cash Variance'!A7</f>
        <v>45843</v>
      </c>
      <c r="B6" s="8">
        <v>1608.5</v>
      </c>
      <c r="C6" s="8">
        <v>420.03</v>
      </c>
      <c r="D6" s="9">
        <v>96.77</v>
      </c>
      <c r="E6" s="9">
        <v>46.23</v>
      </c>
      <c r="F6" s="10">
        <f t="shared" si="3"/>
        <v>2171.5300000000002</v>
      </c>
      <c r="G6" s="9">
        <v>224.54</v>
      </c>
      <c r="H6" s="9">
        <f>1408.24-4.99</f>
        <v>1403.25</v>
      </c>
      <c r="I6" s="9">
        <v>126.21</v>
      </c>
      <c r="J6" s="9">
        <v>306.19</v>
      </c>
      <c r="K6" s="9">
        <v>25.04</v>
      </c>
      <c r="L6" s="9">
        <v>86.3</v>
      </c>
      <c r="M6" s="9">
        <v>0</v>
      </c>
      <c r="N6" s="11">
        <f t="shared" si="0"/>
        <v>2171.5300000000002</v>
      </c>
      <c r="O6" s="11">
        <f t="shared" si="1"/>
        <v>0</v>
      </c>
      <c r="P6" s="9"/>
      <c r="Q6" s="12"/>
      <c r="R6" s="13"/>
      <c r="S6" s="14">
        <f t="shared" si="2"/>
        <v>-224.54</v>
      </c>
    </row>
    <row r="7" spans="1:19" x14ac:dyDescent="0.25">
      <c r="A7" s="7">
        <f>'[1]Cash Variance'!A8</f>
        <v>45844</v>
      </c>
      <c r="B7" s="8">
        <v>1434.99</v>
      </c>
      <c r="C7" s="8">
        <v>390.24</v>
      </c>
      <c r="D7" s="9">
        <v>86.27</v>
      </c>
      <c r="E7" s="9">
        <v>38.67</v>
      </c>
      <c r="F7" s="10">
        <f t="shared" si="3"/>
        <v>1950.17</v>
      </c>
      <c r="G7" s="9">
        <v>268.63</v>
      </c>
      <c r="H7" s="9">
        <v>1293.2</v>
      </c>
      <c r="I7" s="9">
        <v>9.5299999999999994</v>
      </c>
      <c r="J7" s="9">
        <v>369.62</v>
      </c>
      <c r="K7" s="9">
        <v>0</v>
      </c>
      <c r="L7" s="9">
        <v>9.14</v>
      </c>
      <c r="M7" s="9">
        <v>0</v>
      </c>
      <c r="N7" s="11">
        <f t="shared" si="0"/>
        <v>1950.1200000000001</v>
      </c>
      <c r="O7" s="11">
        <f t="shared" si="1"/>
        <v>4.9999999999954525E-2</v>
      </c>
      <c r="P7" s="9"/>
      <c r="Q7" s="12"/>
      <c r="R7" s="13"/>
      <c r="S7" s="14">
        <f t="shared" si="2"/>
        <v>-268.63</v>
      </c>
    </row>
    <row r="8" spans="1:19" x14ac:dyDescent="0.25">
      <c r="A8" s="7">
        <f>'[1]Cash Variance'!A9</f>
        <v>45845</v>
      </c>
      <c r="B8" s="8">
        <v>1527.22</v>
      </c>
      <c r="C8" s="8">
        <v>373.52</v>
      </c>
      <c r="D8" s="9">
        <v>91.83</v>
      </c>
      <c r="E8" s="9">
        <v>52.39</v>
      </c>
      <c r="F8" s="10">
        <f t="shared" si="3"/>
        <v>2044.96</v>
      </c>
      <c r="G8" s="9">
        <v>247.04</v>
      </c>
      <c r="H8" s="9">
        <f>1404.97-14.91</f>
        <v>1390.06</v>
      </c>
      <c r="I8" s="9">
        <v>28.32</v>
      </c>
      <c r="J8" s="9">
        <v>236.52</v>
      </c>
      <c r="K8" s="9">
        <v>27.26</v>
      </c>
      <c r="L8" s="9">
        <v>115.76</v>
      </c>
      <c r="M8" s="9">
        <v>0</v>
      </c>
      <c r="N8" s="11">
        <f t="shared" si="0"/>
        <v>2044.9599999999998</v>
      </c>
      <c r="O8" s="11">
        <f t="shared" si="1"/>
        <v>0</v>
      </c>
      <c r="P8" s="9"/>
      <c r="Q8" s="12"/>
      <c r="R8" s="13"/>
      <c r="S8" s="14">
        <f t="shared" si="2"/>
        <v>-247.04</v>
      </c>
    </row>
    <row r="9" spans="1:19" x14ac:dyDescent="0.25">
      <c r="A9" s="7">
        <f>'[1]Cash Variance'!A10</f>
        <v>45846</v>
      </c>
      <c r="B9" s="8">
        <v>1251.1300000000001</v>
      </c>
      <c r="C9" s="8">
        <v>483.43</v>
      </c>
      <c r="D9" s="15">
        <v>75.27</v>
      </c>
      <c r="E9" s="9">
        <v>28.21</v>
      </c>
      <c r="F9" s="10">
        <f t="shared" si="3"/>
        <v>1838.0400000000002</v>
      </c>
      <c r="G9" s="9">
        <v>237.96</v>
      </c>
      <c r="H9" s="9">
        <f>1108.51-6.48</f>
        <v>1102.03</v>
      </c>
      <c r="I9" s="9">
        <v>20.11</v>
      </c>
      <c r="J9" s="9">
        <v>276.88</v>
      </c>
      <c r="K9" s="9">
        <v>39.549999999999997</v>
      </c>
      <c r="L9" s="9">
        <v>161.51</v>
      </c>
      <c r="M9" s="9">
        <v>0</v>
      </c>
      <c r="N9" s="11">
        <f t="shared" si="0"/>
        <v>1838.04</v>
      </c>
      <c r="O9" s="11">
        <f t="shared" si="1"/>
        <v>0</v>
      </c>
      <c r="P9" s="16"/>
      <c r="Q9" s="12"/>
      <c r="R9" s="13"/>
      <c r="S9" s="14">
        <f t="shared" si="2"/>
        <v>-237.96</v>
      </c>
    </row>
    <row r="10" spans="1:19" x14ac:dyDescent="0.25">
      <c r="A10" s="7">
        <f>'[1]Cash Variance'!A11</f>
        <v>45847</v>
      </c>
      <c r="B10" s="8">
        <v>1489.9</v>
      </c>
      <c r="C10" s="8">
        <v>551.91999999999996</v>
      </c>
      <c r="D10" s="15">
        <v>89.63</v>
      </c>
      <c r="E10" s="9">
        <v>43.43</v>
      </c>
      <c r="F10" s="10">
        <f t="shared" si="3"/>
        <v>2174.88</v>
      </c>
      <c r="G10" s="9">
        <v>280.70999999999998</v>
      </c>
      <c r="H10" s="9">
        <f>1325.89+11.44-9.45</f>
        <v>1327.88</v>
      </c>
      <c r="I10" s="9">
        <v>26.35</v>
      </c>
      <c r="J10" s="9">
        <v>428.76</v>
      </c>
      <c r="K10" s="9">
        <v>15.53</v>
      </c>
      <c r="L10" s="9">
        <v>95.65</v>
      </c>
      <c r="M10" s="9">
        <v>0</v>
      </c>
      <c r="N10" s="11">
        <f t="shared" si="0"/>
        <v>2174.88</v>
      </c>
      <c r="O10" s="11">
        <f t="shared" si="1"/>
        <v>0</v>
      </c>
      <c r="P10" s="16"/>
      <c r="Q10" s="12"/>
      <c r="R10" s="13"/>
      <c r="S10" s="14">
        <f t="shared" si="2"/>
        <v>-280.70999999999998</v>
      </c>
    </row>
    <row r="11" spans="1:19" x14ac:dyDescent="0.25">
      <c r="A11" s="7">
        <f>'[1]Cash Variance'!A12</f>
        <v>45848</v>
      </c>
      <c r="B11" s="8">
        <v>1715.8</v>
      </c>
      <c r="C11" s="8">
        <v>634.67999999999995</v>
      </c>
      <c r="D11" s="9">
        <v>103.17</v>
      </c>
      <c r="E11" s="9">
        <v>45.94</v>
      </c>
      <c r="F11" s="10">
        <f t="shared" si="3"/>
        <v>2499.59</v>
      </c>
      <c r="G11" s="9">
        <v>191.87</v>
      </c>
      <c r="H11" s="9">
        <f>1681.23-2.4</f>
        <v>1678.83</v>
      </c>
      <c r="I11" s="9">
        <v>0</v>
      </c>
      <c r="J11" s="9">
        <v>494.72</v>
      </c>
      <c r="K11" s="9">
        <v>17.309999999999999</v>
      </c>
      <c r="L11" s="9">
        <v>111.17</v>
      </c>
      <c r="M11" s="9">
        <v>5.69</v>
      </c>
      <c r="N11" s="11">
        <f t="shared" si="0"/>
        <v>2499.59</v>
      </c>
      <c r="O11" s="11">
        <f t="shared" si="1"/>
        <v>0</v>
      </c>
      <c r="P11" s="16"/>
      <c r="Q11" s="12"/>
      <c r="R11" s="13"/>
      <c r="S11" s="14">
        <f t="shared" si="2"/>
        <v>-191.87</v>
      </c>
    </row>
    <row r="12" spans="1:19" x14ac:dyDescent="0.25">
      <c r="A12" s="7">
        <f>'[1]Cash Variance'!A13</f>
        <v>45849</v>
      </c>
      <c r="B12" s="8">
        <v>2480.02</v>
      </c>
      <c r="C12" s="8">
        <v>644.15</v>
      </c>
      <c r="D12" s="9">
        <v>149.12</v>
      </c>
      <c r="E12" s="9">
        <v>48.05</v>
      </c>
      <c r="F12" s="10">
        <f t="shared" si="3"/>
        <v>3321.34</v>
      </c>
      <c r="G12" s="9">
        <v>341.66</v>
      </c>
      <c r="H12" s="9">
        <f>2333.83-4.39</f>
        <v>2329.44</v>
      </c>
      <c r="I12" s="9">
        <v>37.049999999999997</v>
      </c>
      <c r="J12" s="9">
        <v>447.07</v>
      </c>
      <c r="K12" s="9">
        <v>0</v>
      </c>
      <c r="L12" s="9">
        <v>166.12</v>
      </c>
      <c r="M12" s="9">
        <v>0</v>
      </c>
      <c r="N12" s="11">
        <f t="shared" si="0"/>
        <v>3321.34</v>
      </c>
      <c r="O12" s="11">
        <f t="shared" si="1"/>
        <v>0</v>
      </c>
      <c r="P12" s="9"/>
      <c r="Q12" s="12"/>
      <c r="R12" s="13"/>
      <c r="S12" s="14">
        <f t="shared" si="2"/>
        <v>-341.66</v>
      </c>
    </row>
    <row r="13" spans="1:19" x14ac:dyDescent="0.25">
      <c r="A13" s="7">
        <f>'[1]Cash Variance'!A14</f>
        <v>45850</v>
      </c>
      <c r="B13" s="8">
        <v>2330.69</v>
      </c>
      <c r="C13" s="8">
        <v>630.58000000000004</v>
      </c>
      <c r="D13" s="9">
        <v>140.13</v>
      </c>
      <c r="E13" s="9">
        <v>108.95</v>
      </c>
      <c r="F13" s="10">
        <f t="shared" si="3"/>
        <v>3210.35</v>
      </c>
      <c r="G13" s="9">
        <v>339.21</v>
      </c>
      <c r="H13" s="9">
        <f>2208.82-6.31</f>
        <v>2202.5100000000002</v>
      </c>
      <c r="I13" s="9">
        <v>21.18</v>
      </c>
      <c r="J13" s="9">
        <v>456.04</v>
      </c>
      <c r="K13" s="9">
        <v>21.31</v>
      </c>
      <c r="L13" s="9">
        <v>155.1</v>
      </c>
      <c r="M13" s="9">
        <v>15</v>
      </c>
      <c r="N13" s="11">
        <f t="shared" si="0"/>
        <v>3210.35</v>
      </c>
      <c r="O13" s="11">
        <f t="shared" si="1"/>
        <v>0</v>
      </c>
      <c r="P13" s="9"/>
      <c r="Q13" s="12"/>
      <c r="R13" s="13"/>
      <c r="S13" s="14">
        <f t="shared" si="2"/>
        <v>-339.21</v>
      </c>
    </row>
    <row r="14" spans="1:19" x14ac:dyDescent="0.25">
      <c r="A14" s="7">
        <f>'[1]Cash Variance'!A15</f>
        <v>45851</v>
      </c>
      <c r="B14" s="8">
        <v>1760.84</v>
      </c>
      <c r="C14" s="8">
        <v>442.86</v>
      </c>
      <c r="D14" s="9">
        <v>105.86</v>
      </c>
      <c r="E14" s="9">
        <v>42.73</v>
      </c>
      <c r="F14" s="10">
        <f t="shared" si="3"/>
        <v>2352.29</v>
      </c>
      <c r="G14" s="9">
        <v>308.49</v>
      </c>
      <c r="H14" s="9">
        <f>1605.42-5.68</f>
        <v>1599.74</v>
      </c>
      <c r="I14" s="9">
        <v>0</v>
      </c>
      <c r="J14" s="9">
        <v>339.09</v>
      </c>
      <c r="K14" s="9">
        <v>43.55</v>
      </c>
      <c r="L14" s="9">
        <v>61.42</v>
      </c>
      <c r="M14" s="9">
        <v>0</v>
      </c>
      <c r="N14" s="11">
        <f t="shared" si="0"/>
        <v>2352.2900000000004</v>
      </c>
      <c r="O14" s="11">
        <f t="shared" si="1"/>
        <v>0</v>
      </c>
      <c r="P14" s="9"/>
      <c r="Q14" s="12"/>
      <c r="R14" s="13"/>
      <c r="S14" s="14">
        <f t="shared" si="2"/>
        <v>-308.49</v>
      </c>
    </row>
    <row r="15" spans="1:19" x14ac:dyDescent="0.25">
      <c r="A15" s="7">
        <f>'[1]Cash Variance'!A16</f>
        <v>45852</v>
      </c>
      <c r="B15" s="8">
        <v>1108.29</v>
      </c>
      <c r="C15" s="8">
        <v>315.08999999999997</v>
      </c>
      <c r="D15" s="9">
        <v>66.69</v>
      </c>
      <c r="E15" s="9">
        <v>43.79</v>
      </c>
      <c r="F15" s="10">
        <f t="shared" si="3"/>
        <v>1533.86</v>
      </c>
      <c r="G15" s="9">
        <v>205.96</v>
      </c>
      <c r="H15" s="9">
        <f>1011.28-7.5</f>
        <v>1003.78</v>
      </c>
      <c r="I15" s="9">
        <v>0</v>
      </c>
      <c r="J15" s="9">
        <v>214.46</v>
      </c>
      <c r="K15" s="9">
        <v>23.91</v>
      </c>
      <c r="L15" s="9">
        <v>70.75</v>
      </c>
      <c r="M15" s="9">
        <v>15</v>
      </c>
      <c r="N15" s="11">
        <f t="shared" si="0"/>
        <v>1533.8600000000001</v>
      </c>
      <c r="O15" s="11">
        <f t="shared" si="1"/>
        <v>0</v>
      </c>
      <c r="P15" s="9"/>
      <c r="Q15" s="12"/>
      <c r="R15" s="13"/>
      <c r="S15" s="14">
        <f t="shared" si="2"/>
        <v>-205.96</v>
      </c>
    </row>
    <row r="16" spans="1:19" x14ac:dyDescent="0.25">
      <c r="A16" s="7">
        <f>'[1]Cash Variance'!A17</f>
        <v>45853</v>
      </c>
      <c r="B16" s="8">
        <v>1500.91</v>
      </c>
      <c r="C16" s="8">
        <v>547.09</v>
      </c>
      <c r="D16" s="9">
        <v>90.3</v>
      </c>
      <c r="E16" s="9">
        <v>55.58</v>
      </c>
      <c r="F16" s="10">
        <f t="shared" si="3"/>
        <v>2193.88</v>
      </c>
      <c r="G16" s="9">
        <v>308.97000000000003</v>
      </c>
      <c r="H16" s="9">
        <f>1314.41-4.98</f>
        <v>1309.43</v>
      </c>
      <c r="I16" s="9">
        <v>38.75</v>
      </c>
      <c r="J16" s="9">
        <v>366.2</v>
      </c>
      <c r="K16" s="9">
        <v>59.56</v>
      </c>
      <c r="L16" s="9">
        <v>110.97</v>
      </c>
      <c r="M16" s="9">
        <v>0</v>
      </c>
      <c r="N16" s="11">
        <f t="shared" si="0"/>
        <v>2193.88</v>
      </c>
      <c r="O16" s="11">
        <f t="shared" si="1"/>
        <v>0</v>
      </c>
      <c r="P16" s="9"/>
      <c r="Q16" s="12"/>
      <c r="R16" s="13"/>
      <c r="S16" s="14">
        <f t="shared" si="2"/>
        <v>-308.97000000000003</v>
      </c>
    </row>
    <row r="17" spans="1:19" x14ac:dyDescent="0.25">
      <c r="A17" s="7">
        <f>'[1]Cash Variance'!A18</f>
        <v>45854</v>
      </c>
      <c r="B17" s="8">
        <v>1424.5</v>
      </c>
      <c r="C17" s="8">
        <v>458.86</v>
      </c>
      <c r="D17" s="9">
        <v>85.68</v>
      </c>
      <c r="E17" s="9">
        <v>37.97</v>
      </c>
      <c r="F17" s="10">
        <f t="shared" si="3"/>
        <v>2007.0100000000002</v>
      </c>
      <c r="G17" s="9">
        <v>175.66</v>
      </c>
      <c r="H17" s="9">
        <f>1365.96-2.48</f>
        <v>1363.48</v>
      </c>
      <c r="I17" s="9">
        <v>16</v>
      </c>
      <c r="J17" s="9">
        <v>391.01</v>
      </c>
      <c r="K17" s="9">
        <v>29.04</v>
      </c>
      <c r="L17" s="9">
        <v>31.82</v>
      </c>
      <c r="M17" s="9">
        <v>0</v>
      </c>
      <c r="N17" s="11">
        <f t="shared" si="0"/>
        <v>2007.01</v>
      </c>
      <c r="O17" s="11">
        <f t="shared" si="1"/>
        <v>0</v>
      </c>
      <c r="P17" s="9">
        <f>7595-2000</f>
        <v>5595</v>
      </c>
      <c r="Q17" s="12">
        <v>45860</v>
      </c>
      <c r="R17" s="13"/>
      <c r="S17" s="14">
        <f t="shared" si="2"/>
        <v>5419.34</v>
      </c>
    </row>
    <row r="18" spans="1:19" x14ac:dyDescent="0.25">
      <c r="A18" s="7">
        <f>'[1]Cash Variance'!A19</f>
        <v>45855</v>
      </c>
      <c r="B18" s="8">
        <v>1605.66</v>
      </c>
      <c r="C18" s="8">
        <v>323.47000000000003</v>
      </c>
      <c r="D18" s="9">
        <v>96.53</v>
      </c>
      <c r="E18" s="9">
        <v>31.71</v>
      </c>
      <c r="F18" s="10">
        <f t="shared" si="3"/>
        <v>2057.37</v>
      </c>
      <c r="G18" s="9">
        <v>239.44</v>
      </c>
      <c r="H18" s="9">
        <f>1485.14-4.97</f>
        <v>1480.17</v>
      </c>
      <c r="I18" s="9">
        <v>14.29</v>
      </c>
      <c r="J18" s="9">
        <v>241</v>
      </c>
      <c r="K18" s="9">
        <v>20.69</v>
      </c>
      <c r="L18" s="9">
        <v>61.78</v>
      </c>
      <c r="M18" s="9">
        <v>0</v>
      </c>
      <c r="N18" s="11">
        <f t="shared" si="0"/>
        <v>2057.3700000000003</v>
      </c>
      <c r="O18" s="11">
        <f t="shared" si="1"/>
        <v>0</v>
      </c>
      <c r="P18" s="9"/>
      <c r="Q18" s="12"/>
      <c r="R18" s="13"/>
      <c r="S18" s="14">
        <f t="shared" si="2"/>
        <v>-239.44</v>
      </c>
    </row>
    <row r="19" spans="1:19" x14ac:dyDescent="0.25">
      <c r="A19" s="7">
        <f>'[1]Cash Variance'!A20</f>
        <v>45856</v>
      </c>
      <c r="B19" s="8">
        <v>2404.4</v>
      </c>
      <c r="C19" s="8">
        <v>683.49</v>
      </c>
      <c r="D19" s="9">
        <v>144.57</v>
      </c>
      <c r="E19" s="9">
        <v>61.03</v>
      </c>
      <c r="F19" s="10">
        <f t="shared" si="3"/>
        <v>3293.4900000000007</v>
      </c>
      <c r="G19" s="9">
        <v>352.85</v>
      </c>
      <c r="H19" s="9">
        <f>2220.42-9.95</f>
        <v>2210.4700000000003</v>
      </c>
      <c r="I19" s="9">
        <v>58.75</v>
      </c>
      <c r="J19" s="9">
        <v>540.02</v>
      </c>
      <c r="K19" s="9">
        <v>33.42</v>
      </c>
      <c r="L19" s="9">
        <v>97.98</v>
      </c>
      <c r="M19" s="9">
        <v>0</v>
      </c>
      <c r="N19" s="11">
        <f t="shared" si="0"/>
        <v>3293.4900000000002</v>
      </c>
      <c r="O19" s="11">
        <f t="shared" si="1"/>
        <v>0</v>
      </c>
      <c r="P19" s="16"/>
      <c r="Q19" s="12"/>
      <c r="R19" s="13"/>
      <c r="S19" s="14">
        <f t="shared" si="2"/>
        <v>-352.85</v>
      </c>
    </row>
    <row r="20" spans="1:19" x14ac:dyDescent="0.25">
      <c r="A20" s="7">
        <f>'[1]Cash Variance'!A21</f>
        <v>45857</v>
      </c>
      <c r="B20" s="8">
        <v>2290.7800000000002</v>
      </c>
      <c r="C20" s="8">
        <v>637.47</v>
      </c>
      <c r="D20" s="9">
        <v>137.76</v>
      </c>
      <c r="E20" s="9">
        <v>68.62</v>
      </c>
      <c r="F20" s="10">
        <f t="shared" si="3"/>
        <v>3134.63</v>
      </c>
      <c r="G20" s="9">
        <v>341.38</v>
      </c>
      <c r="H20" s="9">
        <v>2141.5500000000002</v>
      </c>
      <c r="I20" s="9">
        <v>38.65</v>
      </c>
      <c r="J20" s="9">
        <v>510.32</v>
      </c>
      <c r="K20" s="9">
        <v>0</v>
      </c>
      <c r="L20" s="9">
        <v>102.67</v>
      </c>
      <c r="M20" s="9">
        <v>0</v>
      </c>
      <c r="N20" s="11">
        <f t="shared" si="0"/>
        <v>3134.5700000000006</v>
      </c>
      <c r="O20" s="11">
        <f t="shared" si="1"/>
        <v>5.9999999999490683E-2</v>
      </c>
      <c r="P20" s="16"/>
      <c r="Q20" s="12"/>
      <c r="R20" s="13"/>
      <c r="S20" s="14">
        <f t="shared" si="2"/>
        <v>-341.38</v>
      </c>
    </row>
    <row r="21" spans="1:19" x14ac:dyDescent="0.25">
      <c r="A21" s="7">
        <f>'[1]Cash Variance'!A22</f>
        <v>45858</v>
      </c>
      <c r="B21" s="8">
        <v>2387.91</v>
      </c>
      <c r="C21" s="8">
        <v>583.17999999999995</v>
      </c>
      <c r="D21" s="9">
        <v>143.57</v>
      </c>
      <c r="E21" s="9">
        <v>61.18</v>
      </c>
      <c r="F21" s="10">
        <f t="shared" si="3"/>
        <v>3175.8399999999997</v>
      </c>
      <c r="G21" s="9">
        <v>273.26</v>
      </c>
      <c r="H21" s="9">
        <v>2292.7399999999998</v>
      </c>
      <c r="I21" s="9">
        <v>24.74</v>
      </c>
      <c r="J21" s="9">
        <v>412.18</v>
      </c>
      <c r="K21" s="9">
        <v>17.309999999999999</v>
      </c>
      <c r="L21" s="9">
        <v>135.59</v>
      </c>
      <c r="M21" s="9">
        <v>20</v>
      </c>
      <c r="N21" s="11">
        <f t="shared" si="0"/>
        <v>3175.8199999999997</v>
      </c>
      <c r="O21" s="11">
        <f t="shared" si="1"/>
        <v>1.999999999998181E-2</v>
      </c>
      <c r="P21" s="9"/>
      <c r="Q21" s="12"/>
      <c r="R21" s="13"/>
      <c r="S21" s="14">
        <f t="shared" si="2"/>
        <v>-273.26</v>
      </c>
    </row>
    <row r="22" spans="1:19" x14ac:dyDescent="0.25">
      <c r="A22" s="7">
        <f>'[1]Cash Variance'!A23</f>
        <v>45859</v>
      </c>
      <c r="B22" s="8">
        <v>1479.18</v>
      </c>
      <c r="C22" s="8">
        <v>424.13</v>
      </c>
      <c r="D22" s="9">
        <v>88.91</v>
      </c>
      <c r="E22" s="9">
        <v>32.989999999999903</v>
      </c>
      <c r="F22" s="10">
        <f t="shared" si="3"/>
        <v>2025.21</v>
      </c>
      <c r="G22" s="9">
        <v>259.08</v>
      </c>
      <c r="H22" s="9">
        <v>1346.49</v>
      </c>
      <c r="I22" s="9">
        <v>0</v>
      </c>
      <c r="J22" s="9">
        <v>353.16</v>
      </c>
      <c r="K22" s="9">
        <v>29.67</v>
      </c>
      <c r="L22" s="9">
        <v>36.81</v>
      </c>
      <c r="M22" s="9">
        <v>0</v>
      </c>
      <c r="N22" s="11">
        <f t="shared" si="0"/>
        <v>2025.21</v>
      </c>
      <c r="O22" s="11">
        <f t="shared" si="1"/>
        <v>0</v>
      </c>
      <c r="P22" s="16"/>
      <c r="Q22" s="12"/>
      <c r="R22" s="13"/>
      <c r="S22" s="14">
        <f t="shared" si="2"/>
        <v>-259.08</v>
      </c>
    </row>
    <row r="23" spans="1:19" x14ac:dyDescent="0.25">
      <c r="A23" s="7">
        <f>'[1]Cash Variance'!A24</f>
        <v>45860</v>
      </c>
      <c r="B23" s="8">
        <v>1626.68</v>
      </c>
      <c r="C23" s="8">
        <v>604.48</v>
      </c>
      <c r="D23" s="9">
        <v>97.8</v>
      </c>
      <c r="E23" s="9">
        <v>72.040000000000006</v>
      </c>
      <c r="F23" s="10">
        <f t="shared" si="3"/>
        <v>2401</v>
      </c>
      <c r="G23" s="9">
        <v>277.7</v>
      </c>
      <c r="H23" s="9">
        <v>1532.24</v>
      </c>
      <c r="I23" s="9">
        <v>0</v>
      </c>
      <c r="J23" s="9">
        <v>551.4</v>
      </c>
      <c r="K23" s="9">
        <v>0</v>
      </c>
      <c r="L23" s="9">
        <v>39.61</v>
      </c>
      <c r="M23" s="9">
        <v>0</v>
      </c>
      <c r="N23" s="11">
        <f t="shared" si="0"/>
        <v>2400.9500000000003</v>
      </c>
      <c r="O23" s="11">
        <f t="shared" si="1"/>
        <v>4.9999999999727152E-2</v>
      </c>
      <c r="P23" s="16"/>
      <c r="Q23" s="12"/>
      <c r="R23" s="13"/>
      <c r="S23" s="14">
        <f t="shared" si="2"/>
        <v>-277.7</v>
      </c>
    </row>
    <row r="24" spans="1:19" x14ac:dyDescent="0.25">
      <c r="A24" s="7">
        <f>'[1]Cash Variance'!A25</f>
        <v>45861</v>
      </c>
      <c r="B24" s="8">
        <v>1770.39</v>
      </c>
      <c r="C24" s="8">
        <v>489.69</v>
      </c>
      <c r="D24" s="9">
        <v>106.46</v>
      </c>
      <c r="E24" s="9">
        <v>42.79</v>
      </c>
      <c r="F24" s="10">
        <f t="shared" si="3"/>
        <v>2409.33</v>
      </c>
      <c r="G24" s="9">
        <v>289.24</v>
      </c>
      <c r="H24" s="9">
        <v>1630.39</v>
      </c>
      <c r="I24" s="9">
        <v>0</v>
      </c>
      <c r="J24" s="9">
        <v>443.38</v>
      </c>
      <c r="K24" s="9">
        <v>0</v>
      </c>
      <c r="L24" s="9">
        <v>46.31</v>
      </c>
      <c r="M24" s="9">
        <v>0</v>
      </c>
      <c r="N24" s="11">
        <f t="shared" si="0"/>
        <v>2409.3200000000002</v>
      </c>
      <c r="O24" s="11">
        <f t="shared" si="1"/>
        <v>9.9999999997635314E-3</v>
      </c>
      <c r="P24" s="9"/>
      <c r="Q24" s="12"/>
      <c r="R24" s="13"/>
      <c r="S24" s="14">
        <f t="shared" si="2"/>
        <v>-289.24</v>
      </c>
    </row>
    <row r="25" spans="1:19" x14ac:dyDescent="0.25">
      <c r="A25" s="7">
        <f>'[1]Cash Variance'!A26</f>
        <v>45862</v>
      </c>
      <c r="B25" s="8">
        <v>2126.9</v>
      </c>
      <c r="C25" s="8">
        <v>437.83</v>
      </c>
      <c r="D25" s="9">
        <v>127.89</v>
      </c>
      <c r="E25" s="9">
        <v>42.419999999999902</v>
      </c>
      <c r="F25" s="10">
        <f t="shared" si="3"/>
        <v>2735.04</v>
      </c>
      <c r="G25" s="9">
        <v>234.11</v>
      </c>
      <c r="H25" s="9">
        <v>2049.6999999999998</v>
      </c>
      <c r="I25" s="9">
        <v>17.89</v>
      </c>
      <c r="J25" s="9">
        <v>355</v>
      </c>
      <c r="K25" s="9">
        <v>25.07</v>
      </c>
      <c r="L25" s="9">
        <v>53.27</v>
      </c>
      <c r="M25" s="9">
        <v>0</v>
      </c>
      <c r="N25" s="11">
        <f t="shared" si="0"/>
        <v>2735.04</v>
      </c>
      <c r="O25" s="11">
        <f t="shared" si="1"/>
        <v>0</v>
      </c>
      <c r="P25" s="16"/>
      <c r="Q25" s="12"/>
      <c r="R25" s="13"/>
      <c r="S25" s="14">
        <f t="shared" si="2"/>
        <v>-234.11</v>
      </c>
    </row>
    <row r="26" spans="1:19" x14ac:dyDescent="0.25">
      <c r="A26" s="7">
        <f>'[1]Cash Variance'!A27</f>
        <v>45863</v>
      </c>
      <c r="B26" s="9">
        <v>2764.36</v>
      </c>
      <c r="C26" s="9">
        <v>577.82000000000005</v>
      </c>
      <c r="D26" s="9">
        <v>166.21</v>
      </c>
      <c r="E26" s="9">
        <v>67.040000000000006</v>
      </c>
      <c r="F26" s="10">
        <f t="shared" si="3"/>
        <v>3575.4300000000003</v>
      </c>
      <c r="G26" s="9">
        <v>324.12</v>
      </c>
      <c r="H26" s="9">
        <v>2685.9</v>
      </c>
      <c r="I26" s="9">
        <v>32.83</v>
      </c>
      <c r="J26" s="9">
        <v>316.73</v>
      </c>
      <c r="K26" s="9">
        <v>0</v>
      </c>
      <c r="L26" s="9">
        <v>215.84</v>
      </c>
      <c r="M26" s="9">
        <v>0</v>
      </c>
      <c r="N26" s="11">
        <f t="shared" si="0"/>
        <v>3575.42</v>
      </c>
      <c r="O26" s="11">
        <f t="shared" si="1"/>
        <v>1.0000000000218279E-2</v>
      </c>
      <c r="P26" s="9"/>
      <c r="Q26" s="12"/>
      <c r="R26" s="13"/>
      <c r="S26" s="14">
        <f t="shared" si="2"/>
        <v>-324.12</v>
      </c>
    </row>
    <row r="27" spans="1:19" x14ac:dyDescent="0.25">
      <c r="A27" s="7">
        <f>'[1]Cash Variance'!A28</f>
        <v>45864</v>
      </c>
      <c r="B27" s="8">
        <v>2584.77</v>
      </c>
      <c r="C27" s="8">
        <v>203.07</v>
      </c>
      <c r="D27" s="9">
        <v>155.4</v>
      </c>
      <c r="E27" s="9">
        <v>96.93</v>
      </c>
      <c r="F27" s="10">
        <f t="shared" si="3"/>
        <v>3040.17</v>
      </c>
      <c r="G27" s="9">
        <v>470.34</v>
      </c>
      <c r="H27" s="9">
        <v>2272.87</v>
      </c>
      <c r="I27" s="9">
        <v>102.79</v>
      </c>
      <c r="J27" s="9">
        <v>184.34</v>
      </c>
      <c r="K27" s="9">
        <v>0</v>
      </c>
      <c r="L27" s="9">
        <v>9.75</v>
      </c>
      <c r="M27" s="9">
        <v>0</v>
      </c>
      <c r="N27" s="11">
        <f t="shared" si="0"/>
        <v>3040.09</v>
      </c>
      <c r="O27" s="11">
        <f t="shared" si="1"/>
        <v>7.999999999992724E-2</v>
      </c>
      <c r="P27" s="9"/>
      <c r="Q27" s="12"/>
      <c r="R27" s="13"/>
      <c r="S27" s="14">
        <f t="shared" si="2"/>
        <v>-470.34</v>
      </c>
    </row>
    <row r="28" spans="1:19" x14ac:dyDescent="0.25">
      <c r="A28" s="7">
        <f>'[1]Cash Variance'!A29</f>
        <v>45865</v>
      </c>
      <c r="B28" s="8">
        <v>1986.5</v>
      </c>
      <c r="C28" s="8">
        <v>479.95</v>
      </c>
      <c r="D28" s="9">
        <v>119.38</v>
      </c>
      <c r="E28" s="9">
        <v>64.28</v>
      </c>
      <c r="F28" s="10">
        <f t="shared" si="3"/>
        <v>2650.11</v>
      </c>
      <c r="G28" s="9">
        <v>236.46</v>
      </c>
      <c r="H28" s="9">
        <v>1938.16</v>
      </c>
      <c r="I28" s="9">
        <v>0</v>
      </c>
      <c r="J28" s="9">
        <v>382.3</v>
      </c>
      <c r="K28" s="9">
        <v>44.4</v>
      </c>
      <c r="L28" s="9">
        <v>48.76</v>
      </c>
      <c r="M28" s="9">
        <v>0</v>
      </c>
      <c r="N28" s="11">
        <f t="shared" si="0"/>
        <v>2650.0800000000004</v>
      </c>
      <c r="O28" s="11">
        <f t="shared" si="1"/>
        <v>2.9999999999745341E-2</v>
      </c>
      <c r="P28" s="9"/>
      <c r="Q28" s="12"/>
      <c r="R28" s="13"/>
      <c r="S28" s="14">
        <f t="shared" si="2"/>
        <v>-236.46</v>
      </c>
    </row>
    <row r="29" spans="1:19" x14ac:dyDescent="0.25">
      <c r="A29" s="7">
        <f>'[1]Cash Variance'!A30</f>
        <v>45866</v>
      </c>
      <c r="B29" s="8">
        <v>1484.88</v>
      </c>
      <c r="C29" s="8">
        <v>432.14</v>
      </c>
      <c r="D29" s="9">
        <v>89.31</v>
      </c>
      <c r="E29" s="9">
        <v>28.009999999999899</v>
      </c>
      <c r="F29" s="10">
        <f t="shared" si="3"/>
        <v>2034.34</v>
      </c>
      <c r="G29" s="9">
        <v>251.52</v>
      </c>
      <c r="H29" s="9">
        <v>1298.07</v>
      </c>
      <c r="I29" s="9">
        <v>29.58</v>
      </c>
      <c r="J29" s="9">
        <v>315.45</v>
      </c>
      <c r="K29" s="9">
        <v>15.53</v>
      </c>
      <c r="L29" s="9">
        <v>94.17</v>
      </c>
      <c r="M29" s="9">
        <v>30</v>
      </c>
      <c r="N29" s="11">
        <f t="shared" si="0"/>
        <v>2034.32</v>
      </c>
      <c r="O29" s="11">
        <f t="shared" si="1"/>
        <v>1.999999999998181E-2</v>
      </c>
      <c r="P29" s="9"/>
      <c r="Q29" s="12"/>
      <c r="R29" s="13"/>
      <c r="S29" s="14">
        <f t="shared" si="2"/>
        <v>-251.52</v>
      </c>
    </row>
    <row r="30" spans="1:19" x14ac:dyDescent="0.25">
      <c r="A30" s="7">
        <f>'[1]Cash Variance'!A31</f>
        <v>45867</v>
      </c>
      <c r="B30" s="8">
        <v>1569.76</v>
      </c>
      <c r="C30" s="8">
        <v>500.62</v>
      </c>
      <c r="D30" s="9">
        <v>94.4</v>
      </c>
      <c r="E30" s="9">
        <v>45.6</v>
      </c>
      <c r="F30" s="10">
        <f t="shared" si="3"/>
        <v>2210.38</v>
      </c>
      <c r="G30" s="9">
        <v>184.95</v>
      </c>
      <c r="H30" s="9">
        <v>1529.27</v>
      </c>
      <c r="I30" s="9">
        <v>0</v>
      </c>
      <c r="J30" s="9">
        <v>381.91</v>
      </c>
      <c r="K30" s="9">
        <v>0</v>
      </c>
      <c r="L30" s="9">
        <v>114.22</v>
      </c>
      <c r="M30" s="9">
        <v>0</v>
      </c>
      <c r="N30" s="11">
        <f t="shared" si="0"/>
        <v>2210.35</v>
      </c>
      <c r="O30" s="11">
        <f t="shared" si="1"/>
        <v>3.0000000000200089E-2</v>
      </c>
      <c r="P30" s="16"/>
      <c r="Q30" s="12"/>
      <c r="R30" s="13"/>
      <c r="S30" s="14">
        <f t="shared" si="2"/>
        <v>-184.95</v>
      </c>
    </row>
    <row r="31" spans="1:19" x14ac:dyDescent="0.25">
      <c r="A31" s="7">
        <f>'[1]Cash Variance'!A32</f>
        <v>45868</v>
      </c>
      <c r="B31" s="8">
        <v>1485.3</v>
      </c>
      <c r="C31" s="8">
        <v>576.69000000000005</v>
      </c>
      <c r="D31" s="9">
        <v>89.36</v>
      </c>
      <c r="E31" s="9">
        <v>94.82</v>
      </c>
      <c r="F31" s="10">
        <f t="shared" si="3"/>
        <v>2246.17</v>
      </c>
      <c r="G31" s="9">
        <v>143.08000000000001</v>
      </c>
      <c r="H31" s="9">
        <f>1534.02-2.49</f>
        <v>1531.53</v>
      </c>
      <c r="I31" s="9">
        <v>6.35</v>
      </c>
      <c r="J31" s="9">
        <v>478.14</v>
      </c>
      <c r="K31" s="9">
        <v>0</v>
      </c>
      <c r="L31" s="9">
        <v>87.07</v>
      </c>
      <c r="M31" s="9">
        <v>0</v>
      </c>
      <c r="N31" s="11">
        <f t="shared" si="0"/>
        <v>2246.17</v>
      </c>
      <c r="O31" s="11">
        <f t="shared" si="1"/>
        <v>0</v>
      </c>
      <c r="P31" s="9"/>
      <c r="Q31" s="12"/>
      <c r="R31" s="13"/>
      <c r="S31" s="14">
        <f t="shared" si="2"/>
        <v>-143.08000000000001</v>
      </c>
    </row>
    <row r="32" spans="1:19" ht="15.75" thickBot="1" x14ac:dyDescent="0.3">
      <c r="A32" s="7">
        <f>'[1]Cash Variance'!A33</f>
        <v>45869</v>
      </c>
      <c r="B32" s="8">
        <v>1817.18</v>
      </c>
      <c r="C32" s="8">
        <v>721.65</v>
      </c>
      <c r="D32" s="9">
        <v>109.23</v>
      </c>
      <c r="E32" s="9">
        <v>37.450000000000003</v>
      </c>
      <c r="F32" s="10">
        <f t="shared" si="3"/>
        <v>2685.5099999999998</v>
      </c>
      <c r="G32" s="9">
        <v>277.63</v>
      </c>
      <c r="H32" s="9">
        <f>1688.73-14.5</f>
        <v>1674.23</v>
      </c>
      <c r="I32" s="9">
        <v>0</v>
      </c>
      <c r="J32" s="9">
        <v>570.77</v>
      </c>
      <c r="K32" s="9">
        <v>30.45</v>
      </c>
      <c r="L32" s="9">
        <v>132.43</v>
      </c>
      <c r="M32" s="9">
        <v>0</v>
      </c>
      <c r="N32" s="11">
        <f t="shared" si="0"/>
        <v>2685.5099999999998</v>
      </c>
      <c r="O32" s="11">
        <f t="shared" si="1"/>
        <v>0</v>
      </c>
      <c r="P32" s="9"/>
      <c r="Q32" s="12"/>
      <c r="R32" s="13"/>
      <c r="S32" s="14">
        <f t="shared" si="2"/>
        <v>-277.63</v>
      </c>
    </row>
    <row r="33" spans="1:19" ht="15.75" thickBot="1" x14ac:dyDescent="0.3">
      <c r="A33" s="17" t="s">
        <v>8</v>
      </c>
      <c r="B33" s="18">
        <f t="shared" ref="B33:M33" si="4">SUM(B2:B32)</f>
        <v>56166.909999999996</v>
      </c>
      <c r="C33" s="18">
        <f>SUM(C2:C32)</f>
        <v>15779.259999999998</v>
      </c>
      <c r="D33" s="18">
        <f>SUM(D2:D32)</f>
        <v>3377.3900000000003</v>
      </c>
      <c r="E33" s="18">
        <f>SUM(E2:E32)</f>
        <v>1646.6699999999996</v>
      </c>
      <c r="F33" s="18">
        <f t="shared" ref="F33:I33" si="5">SUM(F2:F32)</f>
        <v>76970.229999999981</v>
      </c>
      <c r="G33" s="18">
        <f>SUM(G2:G32)</f>
        <v>8317.6799999999985</v>
      </c>
      <c r="H33" s="18">
        <f>SUM(H2:H32)</f>
        <v>52303.17</v>
      </c>
      <c r="I33" s="18">
        <f t="shared" si="5"/>
        <v>746.58000000000015</v>
      </c>
      <c r="J33" s="18">
        <f>SUM(J2:J32)</f>
        <v>12104.969999999998</v>
      </c>
      <c r="K33" s="18">
        <f t="shared" si="4"/>
        <v>634.40000000000009</v>
      </c>
      <c r="L33" s="18">
        <f>SUM(L2:L32)</f>
        <v>2777.38</v>
      </c>
      <c r="M33" s="18">
        <f t="shared" si="4"/>
        <v>85.69</v>
      </c>
      <c r="N33" s="19">
        <f>SUM(N2:N32)</f>
        <v>76969.87</v>
      </c>
      <c r="O33" s="19">
        <f t="shared" ref="O33:R33" si="6">SUM(O2:O32)</f>
        <v>0.35999999999899046</v>
      </c>
      <c r="P33" s="18">
        <f>SUM(P2:P32)</f>
        <v>5595</v>
      </c>
      <c r="Q33" s="18"/>
      <c r="R33" s="18">
        <f t="shared" si="6"/>
        <v>0</v>
      </c>
      <c r="S33" s="19">
        <f>SUM(S2:S32)</f>
        <v>-2722.6799999999994</v>
      </c>
    </row>
    <row r="34" spans="1:19" x14ac:dyDescent="0.25">
      <c r="A34" s="20" t="s">
        <v>0</v>
      </c>
      <c r="B34" s="21">
        <f>+B33</f>
        <v>56166.909999999996</v>
      </c>
      <c r="C34" s="20">
        <v>15779.26</v>
      </c>
      <c r="D34" s="20">
        <v>3377.39</v>
      </c>
      <c r="E34" s="20">
        <v>1646.67</v>
      </c>
      <c r="F34" s="22"/>
      <c r="G34" s="21">
        <f>+G33</f>
        <v>8317.6799999999985</v>
      </c>
      <c r="H34" s="20"/>
      <c r="I34" s="20"/>
      <c r="J34" s="21">
        <f>+J33</f>
        <v>12104.969999999998</v>
      </c>
      <c r="K34" s="21">
        <f>+K33</f>
        <v>634.40000000000009</v>
      </c>
      <c r="L34" s="21">
        <f>+L33</f>
        <v>2777.38</v>
      </c>
      <c r="M34" s="21">
        <f>+M33</f>
        <v>85.69</v>
      </c>
      <c r="N34" s="20"/>
      <c r="O34" s="20"/>
      <c r="P34" s="20"/>
      <c r="Q34" s="20"/>
      <c r="R34" s="20"/>
    </row>
    <row r="35" spans="1:19" x14ac:dyDescent="0.25">
      <c r="A35" s="23" t="s">
        <v>9</v>
      </c>
      <c r="B35" s="24">
        <f>+B34</f>
        <v>56166.909999999996</v>
      </c>
      <c r="C35" s="24">
        <f>+C33</f>
        <v>15779.259999999998</v>
      </c>
      <c r="D35" s="24">
        <f>+D33</f>
        <v>3377.3900000000003</v>
      </c>
      <c r="E35" s="24">
        <f>+E33</f>
        <v>1646.6699999999996</v>
      </c>
      <c r="F35" s="23"/>
      <c r="G35" s="24">
        <f>+G33</f>
        <v>8317.6799999999985</v>
      </c>
      <c r="H35" s="23"/>
      <c r="I35" s="23"/>
      <c r="J35" s="24">
        <f>+J34</f>
        <v>12104.969999999998</v>
      </c>
      <c r="K35" s="24">
        <f>+K34</f>
        <v>634.40000000000009</v>
      </c>
      <c r="L35" s="24">
        <f>+L33</f>
        <v>2777.38</v>
      </c>
      <c r="M35" s="24">
        <f>+M33</f>
        <v>85.69</v>
      </c>
      <c r="N35" s="23"/>
      <c r="O35" s="23"/>
      <c r="P35" s="23"/>
      <c r="Q35" s="23"/>
      <c r="R35" s="23"/>
    </row>
    <row r="36" spans="1:19" x14ac:dyDescent="0.25">
      <c r="A36" s="23"/>
      <c r="B36" s="23"/>
      <c r="C36" s="23"/>
      <c r="D36" s="23"/>
      <c r="E36" s="23"/>
      <c r="F36" s="23"/>
      <c r="G36" s="23"/>
      <c r="H36" s="32" t="s">
        <v>10</v>
      </c>
      <c r="I36" s="32"/>
      <c r="J36" s="26">
        <v>14628.76</v>
      </c>
      <c r="K36" s="25">
        <f>717.7-36.88</f>
        <v>680.82</v>
      </c>
      <c r="L36" s="25">
        <v>3515.09</v>
      </c>
      <c r="M36" s="23"/>
      <c r="N36" s="23"/>
      <c r="O36" s="23"/>
      <c r="P36" s="23"/>
      <c r="Q36" s="23"/>
      <c r="R36" s="23"/>
    </row>
    <row r="37" spans="1:19" x14ac:dyDescent="0.25">
      <c r="A37" s="23"/>
      <c r="B37" s="23"/>
      <c r="C37" s="23"/>
      <c r="D37" s="23"/>
      <c r="E37" s="23"/>
      <c r="F37" s="23"/>
      <c r="G37" s="23"/>
      <c r="H37" s="32" t="s">
        <v>11</v>
      </c>
      <c r="I37" s="32"/>
      <c r="J37" s="27">
        <f>+J36-J33</f>
        <v>2523.7900000000027</v>
      </c>
      <c r="K37" s="28">
        <f>+K36-K33</f>
        <v>46.419999999999959</v>
      </c>
      <c r="L37" s="28">
        <f>+L36-L33</f>
        <v>737.71</v>
      </c>
      <c r="M37" s="23"/>
      <c r="N37" s="23"/>
      <c r="O37" s="23"/>
      <c r="P37" s="23"/>
      <c r="Q37" s="23"/>
      <c r="R37" s="23"/>
    </row>
    <row r="38" spans="1:19" x14ac:dyDescent="0.25">
      <c r="A38" s="23"/>
      <c r="B38" s="23"/>
      <c r="C38" s="23"/>
      <c r="D38" s="23"/>
      <c r="E38" s="23"/>
      <c r="F38" s="23"/>
      <c r="G38" s="23"/>
      <c r="H38" s="32" t="s">
        <v>12</v>
      </c>
      <c r="I38" s="32"/>
      <c r="J38" s="26">
        <v>-2514.34</v>
      </c>
      <c r="K38" s="25">
        <v>-68.069999999999993</v>
      </c>
      <c r="L38" s="25">
        <f>-566.33+225.12</f>
        <v>-341.21000000000004</v>
      </c>
      <c r="M38" s="23"/>
      <c r="N38" s="23"/>
      <c r="O38" s="23"/>
      <c r="P38" s="23"/>
      <c r="Q38" s="23"/>
      <c r="R38" s="23"/>
    </row>
    <row r="39" spans="1:19" x14ac:dyDescent="0.25">
      <c r="A39" s="23"/>
      <c r="B39" s="29"/>
      <c r="C39" s="23"/>
      <c r="D39" s="23"/>
      <c r="E39" s="23"/>
      <c r="F39" s="23"/>
      <c r="G39" s="23"/>
      <c r="H39" s="32" t="s">
        <v>13</v>
      </c>
      <c r="I39" s="32"/>
      <c r="J39" s="26">
        <v>-2783.39</v>
      </c>
      <c r="K39" s="25">
        <f>-60.27-46.42</f>
        <v>-106.69</v>
      </c>
      <c r="L39" s="25">
        <v>-737.71</v>
      </c>
      <c r="M39" s="23"/>
      <c r="N39" s="23"/>
      <c r="O39" s="23"/>
      <c r="P39" s="23"/>
      <c r="Q39" s="23"/>
      <c r="R39" s="23"/>
    </row>
    <row r="40" spans="1:19" x14ac:dyDescent="0.25">
      <c r="A40" s="23"/>
      <c r="B40" s="23"/>
      <c r="C40" s="23"/>
      <c r="D40" s="23"/>
      <c r="E40" s="23"/>
      <c r="F40" s="23"/>
      <c r="G40" s="23"/>
      <c r="H40" s="32" t="s">
        <v>14</v>
      </c>
      <c r="I40" s="32"/>
      <c r="J40" s="26">
        <v>-26.53</v>
      </c>
      <c r="K40" s="25">
        <v>0</v>
      </c>
      <c r="L40" s="25">
        <v>0</v>
      </c>
      <c r="M40" s="23"/>
      <c r="N40" s="23"/>
      <c r="O40" s="23"/>
      <c r="P40" s="23"/>
      <c r="Q40" s="23"/>
      <c r="R40" s="23"/>
    </row>
    <row r="41" spans="1:19" ht="15.75" thickBot="1" x14ac:dyDescent="0.3">
      <c r="A41" s="23"/>
      <c r="B41" s="23"/>
      <c r="C41" s="23"/>
      <c r="D41" s="23"/>
      <c r="E41" s="23"/>
      <c r="F41" s="23"/>
      <c r="G41" s="23"/>
      <c r="H41" s="33" t="s">
        <v>15</v>
      </c>
      <c r="I41" s="33"/>
      <c r="J41" s="30">
        <f>+J36+J38+J39+J40</f>
        <v>9304.5</v>
      </c>
      <c r="K41" s="31">
        <f>+K36+K38+K39+K40</f>
        <v>506.06</v>
      </c>
      <c r="L41" s="31">
        <f>+L36+L38+L39+L40</f>
        <v>2436.17</v>
      </c>
      <c r="M41" s="23"/>
      <c r="N41" s="23"/>
      <c r="O41" s="23"/>
      <c r="P41" s="23"/>
      <c r="Q41" s="23"/>
      <c r="R41" s="23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2025-08-20T12:43:11Z</dcterms:created>
  <dcterms:modified xsi:type="dcterms:W3CDTF">2025-10-07T06:12:19Z</dcterms:modified>
</cp:coreProperties>
</file>