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81AFB817-929B-491C-AFF5-BE2A77B265B9}" xr6:coauthVersionLast="47" xr6:coauthVersionMax="47" xr10:uidLastSave="{00000000-0000-0000-0000-000000000000}"/>
  <bookViews>
    <workbookView xWindow="-120" yWindow="-120" windowWidth="20730" windowHeight="11040" xr2:uid="{5CD712B0-AC57-4511-A1C2-A54F169AF88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3" i="1"/>
  <c r="G35" i="1" s="1"/>
  <c r="D33" i="1"/>
  <c r="D35" i="1" s="1"/>
  <c r="F2" i="1"/>
  <c r="A2" i="1"/>
  <c r="K41" i="1"/>
  <c r="J41" i="1"/>
  <c r="L38" i="1"/>
  <c r="L36" i="1"/>
  <c r="L41" i="1" s="1"/>
  <c r="C35" i="1"/>
  <c r="R33" i="1"/>
  <c r="M33" i="1"/>
  <c r="M35" i="1" s="1"/>
  <c r="L33" i="1"/>
  <c r="L34" i="1" s="1"/>
  <c r="K33" i="1"/>
  <c r="K34" i="1" s="1"/>
  <c r="K35" i="1" s="1"/>
  <c r="J33" i="1"/>
  <c r="J34" i="1" s="1"/>
  <c r="I33" i="1"/>
  <c r="E33" i="1"/>
  <c r="E35" i="1" s="1"/>
  <c r="C33" i="1"/>
  <c r="C34" i="1" s="1"/>
  <c r="B33" i="1"/>
  <c r="B35" i="1" s="1"/>
  <c r="S32" i="1"/>
  <c r="H32" i="1"/>
  <c r="N32" i="1" s="1"/>
  <c r="F32" i="1"/>
  <c r="O32" i="1" s="1"/>
  <c r="A32" i="1"/>
  <c r="S31" i="1"/>
  <c r="N31" i="1"/>
  <c r="F31" i="1"/>
  <c r="A31" i="1"/>
  <c r="S30" i="1"/>
  <c r="N30" i="1"/>
  <c r="O30" i="1" s="1"/>
  <c r="F30" i="1"/>
  <c r="A30" i="1"/>
  <c r="S29" i="1"/>
  <c r="N29" i="1"/>
  <c r="F29" i="1"/>
  <c r="O29" i="1" s="1"/>
  <c r="A29" i="1"/>
  <c r="S28" i="1"/>
  <c r="H28" i="1"/>
  <c r="N28" i="1" s="1"/>
  <c r="F28" i="1"/>
  <c r="A28" i="1"/>
  <c r="S27" i="1"/>
  <c r="H27" i="1"/>
  <c r="N27" i="1" s="1"/>
  <c r="F27" i="1"/>
  <c r="A27" i="1"/>
  <c r="S26" i="1"/>
  <c r="H26" i="1"/>
  <c r="N26" i="1" s="1"/>
  <c r="O26" i="1" s="1"/>
  <c r="F26" i="1"/>
  <c r="A26" i="1"/>
  <c r="S25" i="1"/>
  <c r="H25" i="1"/>
  <c r="N25" i="1" s="1"/>
  <c r="F25" i="1"/>
  <c r="O25" i="1" s="1"/>
  <c r="A25" i="1"/>
  <c r="S24" i="1"/>
  <c r="H24" i="1"/>
  <c r="N24" i="1" s="1"/>
  <c r="F24" i="1"/>
  <c r="A24" i="1"/>
  <c r="S23" i="1"/>
  <c r="H23" i="1"/>
  <c r="N23" i="1" s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O20" i="1" s="1"/>
  <c r="A20" i="1"/>
  <c r="S19" i="1"/>
  <c r="N19" i="1"/>
  <c r="F19" i="1"/>
  <c r="O19" i="1" s="1"/>
  <c r="A19" i="1"/>
  <c r="S18" i="1"/>
  <c r="H18" i="1"/>
  <c r="N18" i="1" s="1"/>
  <c r="F18" i="1"/>
  <c r="O18" i="1" s="1"/>
  <c r="A18" i="1"/>
  <c r="S17" i="1"/>
  <c r="N17" i="1"/>
  <c r="O17" i="1" s="1"/>
  <c r="F17" i="1"/>
  <c r="A17" i="1"/>
  <c r="S16" i="1"/>
  <c r="N16" i="1"/>
  <c r="F16" i="1"/>
  <c r="O16" i="1" s="1"/>
  <c r="A16" i="1"/>
  <c r="S15" i="1"/>
  <c r="N15" i="1"/>
  <c r="F15" i="1"/>
  <c r="A15" i="1"/>
  <c r="S14" i="1"/>
  <c r="H14" i="1"/>
  <c r="N14" i="1" s="1"/>
  <c r="O14" i="1" s="1"/>
  <c r="F14" i="1"/>
  <c r="A14" i="1"/>
  <c r="S13" i="1"/>
  <c r="N13" i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N10" i="1"/>
  <c r="F10" i="1"/>
  <c r="O10" i="1" s="1"/>
  <c r="A10" i="1"/>
  <c r="S9" i="1"/>
  <c r="H9" i="1"/>
  <c r="N9" i="1" s="1"/>
  <c r="F9" i="1"/>
  <c r="A9" i="1"/>
  <c r="S8" i="1"/>
  <c r="N8" i="1"/>
  <c r="F8" i="1"/>
  <c r="A8" i="1"/>
  <c r="S7" i="1"/>
  <c r="N7" i="1"/>
  <c r="F7" i="1"/>
  <c r="O7" i="1" s="1"/>
  <c r="A7" i="1"/>
  <c r="S6" i="1"/>
  <c r="N6" i="1"/>
  <c r="H6" i="1"/>
  <c r="F6" i="1"/>
  <c r="A6" i="1"/>
  <c r="S5" i="1"/>
  <c r="N5" i="1"/>
  <c r="F5" i="1"/>
  <c r="O5" i="1" s="1"/>
  <c r="A5" i="1"/>
  <c r="S4" i="1"/>
  <c r="N4" i="1"/>
  <c r="F4" i="1"/>
  <c r="A4" i="1"/>
  <c r="S3" i="1"/>
  <c r="H3" i="1"/>
  <c r="H33" i="1" s="1"/>
  <c r="F3" i="1"/>
  <c r="A3" i="1"/>
  <c r="S2" i="1"/>
  <c r="N2" i="1"/>
  <c r="O2" i="1"/>
  <c r="A1" i="1"/>
  <c r="N33" i="1" l="1"/>
  <c r="O11" i="1"/>
  <c r="O23" i="1"/>
  <c r="O21" i="1"/>
  <c r="L35" i="1"/>
  <c r="J35" i="1"/>
  <c r="N3" i="1"/>
  <c r="O3" i="1" s="1"/>
  <c r="O27" i="1"/>
  <c r="J37" i="1"/>
  <c r="O22" i="1"/>
  <c r="O31" i="1"/>
  <c r="D34" i="1"/>
  <c r="K37" i="1"/>
  <c r="O9" i="1"/>
  <c r="F33" i="1"/>
  <c r="O6" i="1"/>
  <c r="O13" i="1"/>
  <c r="S33" i="1"/>
  <c r="O8" i="1"/>
  <c r="O15" i="1"/>
  <c r="O24" i="1"/>
  <c r="O28" i="1"/>
  <c r="O12" i="1"/>
  <c r="E34" i="1"/>
  <c r="G34" i="1"/>
  <c r="L37" i="1"/>
  <c r="O4" i="1"/>
  <c r="B34" i="1"/>
  <c r="M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<sst xmlns="http://schemas.openxmlformats.org/spreadsheetml/2006/main" count="27" uniqueCount="27">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</sst>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244-EDE2-4AEA-82E5-999B022D0321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14.5703125" customWidth="1"/>
    <col min="14" max="14" width="10.85546875" bestFit="1" customWidth="1"/>
    <col min="16" max="16" width="10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2247.9</v>
      </c>
      <c r="C2" s="8">
        <v>18</v>
      </c>
      <c r="D2" s="9">
        <v>179.96</v>
      </c>
      <c r="E2" s="9">
        <v>7.1</v>
      </c>
      <c r="F2" s="10">
        <f>SUM(B2:E2)</f>
        <v>2452.96</v>
      </c>
      <c r="G2" s="9">
        <v>558.45000000000005</v>
      </c>
      <c r="H2" s="9">
        <v>1326.12</v>
      </c>
      <c r="I2" s="9">
        <v>12.94</v>
      </c>
      <c r="J2" s="9">
        <v>556.16</v>
      </c>
      <c r="K2" s="9">
        <v>0</v>
      </c>
      <c r="L2" s="9">
        <v>0</v>
      </c>
      <c r="M2" s="9">
        <v>0</v>
      </c>
      <c r="N2" s="11">
        <f t="shared" ref="N2:N32" si="0">SUM(G2:M2)</f>
        <v>2453.67</v>
      </c>
      <c r="O2" s="11">
        <f t="shared" ref="O2:O32" si="1">+F2-N2</f>
        <v>-0.71000000000003638</v>
      </c>
      <c r="P2" s="9">
        <v>558.45000000000005</v>
      </c>
      <c r="Q2" s="12">
        <v>45845</v>
      </c>
      <c r="R2" s="13"/>
      <c r="S2" s="14">
        <f t="shared" ref="S2:S32" si="2">P2-G2-R2</f>
        <v>0</v>
      </c>
    </row>
    <row r="3" spans="1:19" x14ac:dyDescent="0.25">
      <c r="A3" s="7">
        <f>'[1]Cash Variance'!A4</f>
        <v>45840</v>
      </c>
      <c r="B3" s="8">
        <v>2055.3200000000002</v>
      </c>
      <c r="C3" s="8">
        <v>4.43</v>
      </c>
      <c r="D3" s="9">
        <v>164.53</v>
      </c>
      <c r="E3" s="9">
        <v>19.79</v>
      </c>
      <c r="F3" s="10">
        <f t="shared" ref="F3:F32" si="3">SUM(B3:E3)</f>
        <v>2244.0700000000002</v>
      </c>
      <c r="G3" s="9">
        <v>330.15</v>
      </c>
      <c r="H3" s="9">
        <f>1508.97-2.83</f>
        <v>1506.14</v>
      </c>
      <c r="I3" s="9">
        <v>0</v>
      </c>
      <c r="J3" s="9">
        <v>370.42</v>
      </c>
      <c r="K3" s="9">
        <v>0</v>
      </c>
      <c r="L3" s="9">
        <v>37.36</v>
      </c>
      <c r="M3" s="9">
        <v>0</v>
      </c>
      <c r="N3" s="11">
        <f t="shared" si="0"/>
        <v>2244.0700000000002</v>
      </c>
      <c r="O3" s="11">
        <f t="shared" si="1"/>
        <v>0</v>
      </c>
      <c r="P3" s="9">
        <v>330.15</v>
      </c>
      <c r="Q3" s="12">
        <v>45845</v>
      </c>
      <c r="R3" s="13"/>
      <c r="S3" s="14">
        <f t="shared" si="2"/>
        <v>0</v>
      </c>
    </row>
    <row r="4" spans="1:19" x14ac:dyDescent="0.25">
      <c r="A4" s="7">
        <f>'[1]Cash Variance'!A5</f>
        <v>45841</v>
      </c>
      <c r="B4" s="8">
        <v>2318.9699999999998</v>
      </c>
      <c r="C4" s="8">
        <v>13.47</v>
      </c>
      <c r="D4" s="9">
        <v>185.65</v>
      </c>
      <c r="E4" s="9">
        <v>17.7</v>
      </c>
      <c r="F4" s="10">
        <f t="shared" si="3"/>
        <v>2535.7899999999995</v>
      </c>
      <c r="G4" s="9">
        <v>576.27</v>
      </c>
      <c r="H4" s="9">
        <v>1638.83</v>
      </c>
      <c r="I4" s="9">
        <v>0</v>
      </c>
      <c r="J4" s="9">
        <v>321.69</v>
      </c>
      <c r="K4" s="9">
        <v>0</v>
      </c>
      <c r="L4" s="9">
        <v>0</v>
      </c>
      <c r="M4" s="9">
        <v>0</v>
      </c>
      <c r="N4" s="11">
        <f t="shared" si="0"/>
        <v>2536.79</v>
      </c>
      <c r="O4" s="11">
        <f t="shared" si="1"/>
        <v>-1.0000000000004547</v>
      </c>
      <c r="P4" s="9">
        <v>350</v>
      </c>
      <c r="Q4" s="12">
        <v>45845</v>
      </c>
      <c r="R4" s="13"/>
      <c r="S4" s="14">
        <f t="shared" si="2"/>
        <v>-226.26999999999998</v>
      </c>
    </row>
    <row r="5" spans="1:19" x14ac:dyDescent="0.25">
      <c r="A5" s="7">
        <f>'[1]Cash Variance'!A6</f>
        <v>45842</v>
      </c>
      <c r="B5" s="8">
        <v>1599.7</v>
      </c>
      <c r="C5" s="9">
        <v>8.98</v>
      </c>
      <c r="D5" s="9">
        <v>128.07</v>
      </c>
      <c r="E5" s="9">
        <v>3</v>
      </c>
      <c r="F5" s="10">
        <f t="shared" si="3"/>
        <v>1739.75</v>
      </c>
      <c r="G5" s="9">
        <v>311.52999999999997</v>
      </c>
      <c r="H5" s="9">
        <v>932.09</v>
      </c>
      <c r="I5" s="9">
        <v>8.09</v>
      </c>
      <c r="J5" s="9">
        <v>463.66</v>
      </c>
      <c r="K5" s="9">
        <v>0</v>
      </c>
      <c r="L5" s="9">
        <v>24.26</v>
      </c>
      <c r="M5" s="9">
        <v>0</v>
      </c>
      <c r="N5" s="11">
        <f t="shared" si="0"/>
        <v>1739.6299999999999</v>
      </c>
      <c r="O5" s="11">
        <f t="shared" si="1"/>
        <v>0.12000000000011823</v>
      </c>
      <c r="P5" s="9">
        <v>311.52999999999997</v>
      </c>
      <c r="Q5" s="12">
        <v>45845</v>
      </c>
      <c r="R5" s="13"/>
      <c r="S5" s="14">
        <f t="shared" si="2"/>
        <v>0</v>
      </c>
    </row>
    <row r="6" spans="1:19" x14ac:dyDescent="0.25">
      <c r="A6" s="7">
        <f>'[1]Cash Variance'!A7</f>
        <v>45843</v>
      </c>
      <c r="B6" s="8">
        <v>1816.82</v>
      </c>
      <c r="C6" s="8">
        <v>26.69</v>
      </c>
      <c r="D6" s="9">
        <v>145.44</v>
      </c>
      <c r="E6" s="9">
        <v>12.3</v>
      </c>
      <c r="F6" s="10">
        <f t="shared" si="3"/>
        <v>2001.25</v>
      </c>
      <c r="G6" s="9">
        <v>542.54999999999995</v>
      </c>
      <c r="H6" s="9">
        <f>957.58-1.39</f>
        <v>956.19</v>
      </c>
      <c r="I6" s="9">
        <v>0</v>
      </c>
      <c r="J6" s="9">
        <v>471.7</v>
      </c>
      <c r="K6" s="9">
        <v>0</v>
      </c>
      <c r="L6" s="9">
        <v>0</v>
      </c>
      <c r="M6" s="9">
        <v>30.81</v>
      </c>
      <c r="N6" s="11">
        <f t="shared" si="0"/>
        <v>2001.25</v>
      </c>
      <c r="O6" s="11">
        <f t="shared" si="1"/>
        <v>0</v>
      </c>
      <c r="P6" s="9">
        <v>542.54999999999995</v>
      </c>
      <c r="Q6" s="12">
        <v>45845</v>
      </c>
      <c r="R6" s="13"/>
      <c r="S6" s="14">
        <f t="shared" si="2"/>
        <v>0</v>
      </c>
    </row>
    <row r="7" spans="1:19" x14ac:dyDescent="0.25">
      <c r="A7" s="7">
        <f>'[1]Cash Variance'!A8</f>
        <v>45844</v>
      </c>
      <c r="B7" s="8">
        <v>2226.5300000000002</v>
      </c>
      <c r="C7" s="8">
        <v>8.82</v>
      </c>
      <c r="D7" s="9">
        <v>178.23</v>
      </c>
      <c r="E7" s="9">
        <v>4.05</v>
      </c>
      <c r="F7" s="10">
        <f t="shared" si="3"/>
        <v>2417.6300000000006</v>
      </c>
      <c r="G7" s="9">
        <v>514.51</v>
      </c>
      <c r="H7" s="9">
        <v>1362.08</v>
      </c>
      <c r="I7" s="9">
        <v>63.1</v>
      </c>
      <c r="J7" s="9">
        <v>449.51</v>
      </c>
      <c r="K7" s="9">
        <v>0</v>
      </c>
      <c r="L7" s="9">
        <v>28.66</v>
      </c>
      <c r="M7" s="9">
        <v>0</v>
      </c>
      <c r="N7" s="11">
        <f t="shared" si="0"/>
        <v>2417.8599999999997</v>
      </c>
      <c r="O7" s="11">
        <f t="shared" si="1"/>
        <v>-0.2299999999991087</v>
      </c>
      <c r="P7" s="9">
        <v>514.51</v>
      </c>
      <c r="Q7" s="12">
        <v>45852</v>
      </c>
      <c r="R7" s="13"/>
      <c r="S7" s="14">
        <f t="shared" si="2"/>
        <v>0</v>
      </c>
    </row>
    <row r="8" spans="1:19" x14ac:dyDescent="0.25">
      <c r="A8" s="7">
        <f>'[1]Cash Variance'!A9</f>
        <v>45845</v>
      </c>
      <c r="B8" s="8">
        <v>1764.93</v>
      </c>
      <c r="C8" s="8">
        <v>9.41</v>
      </c>
      <c r="D8" s="9">
        <v>141.30000000000001</v>
      </c>
      <c r="E8" s="9">
        <v>10.210000000000001</v>
      </c>
      <c r="F8" s="10">
        <f t="shared" si="3"/>
        <v>1925.8500000000001</v>
      </c>
      <c r="G8" s="9">
        <v>422.4</v>
      </c>
      <c r="H8" s="9">
        <v>1063.08</v>
      </c>
      <c r="I8" s="9">
        <v>0</v>
      </c>
      <c r="J8" s="9">
        <v>425.26</v>
      </c>
      <c r="K8" s="9">
        <v>0</v>
      </c>
      <c r="L8" s="9">
        <v>15.51</v>
      </c>
      <c r="M8" s="9">
        <v>0</v>
      </c>
      <c r="N8" s="11">
        <f t="shared" si="0"/>
        <v>1926.25</v>
      </c>
      <c r="O8" s="11">
        <f t="shared" si="1"/>
        <v>-0.39999999999986358</v>
      </c>
      <c r="P8" s="9">
        <v>422.4</v>
      </c>
      <c r="Q8" s="12">
        <v>45852</v>
      </c>
      <c r="R8" s="13"/>
      <c r="S8" s="14">
        <f t="shared" si="2"/>
        <v>0</v>
      </c>
    </row>
    <row r="9" spans="1:19" x14ac:dyDescent="0.25">
      <c r="A9" s="7">
        <f>'[1]Cash Variance'!A10</f>
        <v>45846</v>
      </c>
      <c r="B9" s="8">
        <v>1486.25</v>
      </c>
      <c r="C9" s="9">
        <v>24.92</v>
      </c>
      <c r="D9" s="15">
        <v>119.03</v>
      </c>
      <c r="E9" s="9">
        <v>5.2</v>
      </c>
      <c r="F9" s="10">
        <f t="shared" si="3"/>
        <v>1635.4</v>
      </c>
      <c r="G9" s="9">
        <v>455.15</v>
      </c>
      <c r="H9" s="9">
        <f>811.56-1.92</f>
        <v>809.64</v>
      </c>
      <c r="I9" s="9">
        <v>0</v>
      </c>
      <c r="J9" s="9">
        <v>352.82</v>
      </c>
      <c r="K9" s="9">
        <v>0</v>
      </c>
      <c r="L9" s="9">
        <v>17.79</v>
      </c>
      <c r="M9" s="9">
        <v>0</v>
      </c>
      <c r="N9" s="11">
        <f t="shared" si="0"/>
        <v>1635.3999999999999</v>
      </c>
      <c r="O9" s="11">
        <f t="shared" si="1"/>
        <v>0</v>
      </c>
      <c r="P9" s="9">
        <v>455.51</v>
      </c>
      <c r="Q9" s="12">
        <v>45852</v>
      </c>
      <c r="R9" s="13"/>
      <c r="S9" s="14">
        <f t="shared" si="2"/>
        <v>0.36000000000001364</v>
      </c>
    </row>
    <row r="10" spans="1:19" x14ac:dyDescent="0.25">
      <c r="A10" s="7">
        <f>'[1]Cash Variance'!A11</f>
        <v>45847</v>
      </c>
      <c r="B10" s="8">
        <v>1812.96</v>
      </c>
      <c r="C10" s="8">
        <v>13.26</v>
      </c>
      <c r="D10" s="15">
        <v>145.13</v>
      </c>
      <c r="E10" s="9">
        <v>3</v>
      </c>
      <c r="F10" s="10">
        <f t="shared" si="3"/>
        <v>1974.35</v>
      </c>
      <c r="G10" s="9">
        <v>491.33</v>
      </c>
      <c r="H10" s="9">
        <v>1022.61</v>
      </c>
      <c r="I10" s="9">
        <v>30.22</v>
      </c>
      <c r="J10" s="9">
        <v>420.41</v>
      </c>
      <c r="K10" s="9">
        <v>0</v>
      </c>
      <c r="L10" s="9">
        <v>0</v>
      </c>
      <c r="M10" s="9">
        <v>10.78</v>
      </c>
      <c r="N10" s="11">
        <f t="shared" si="0"/>
        <v>1975.3500000000001</v>
      </c>
      <c r="O10" s="11">
        <f t="shared" si="1"/>
        <v>-1.0000000000002274</v>
      </c>
      <c r="P10" s="9">
        <v>491.33</v>
      </c>
      <c r="Q10" s="12">
        <v>45852</v>
      </c>
      <c r="R10" s="13"/>
      <c r="S10" s="14">
        <f t="shared" si="2"/>
        <v>0</v>
      </c>
    </row>
    <row r="11" spans="1:19" x14ac:dyDescent="0.25">
      <c r="A11" s="7">
        <f>'[1]Cash Variance'!A12</f>
        <v>45848</v>
      </c>
      <c r="B11" s="8">
        <v>1424.28</v>
      </c>
      <c r="C11" s="9">
        <v>22.56</v>
      </c>
      <c r="D11" s="9">
        <v>114.01</v>
      </c>
      <c r="E11" s="9">
        <v>11.95</v>
      </c>
      <c r="F11" s="10">
        <f t="shared" si="3"/>
        <v>1572.8</v>
      </c>
      <c r="G11" s="9">
        <v>259.64</v>
      </c>
      <c r="H11" s="9">
        <f>992.89-1.42</f>
        <v>991.47</v>
      </c>
      <c r="I11" s="9">
        <v>0</v>
      </c>
      <c r="J11" s="9">
        <v>273.64</v>
      </c>
      <c r="K11" s="9">
        <v>0</v>
      </c>
      <c r="L11" s="9">
        <v>48.05</v>
      </c>
      <c r="M11" s="9">
        <v>0</v>
      </c>
      <c r="N11" s="11">
        <f t="shared" si="0"/>
        <v>1572.8</v>
      </c>
      <c r="O11" s="11">
        <f t="shared" si="1"/>
        <v>0</v>
      </c>
      <c r="P11" s="9">
        <v>260</v>
      </c>
      <c r="Q11" s="12">
        <v>45852</v>
      </c>
      <c r="R11" s="13"/>
      <c r="S11" s="14">
        <f t="shared" si="2"/>
        <v>0.36000000000001364</v>
      </c>
    </row>
    <row r="12" spans="1:19" x14ac:dyDescent="0.25">
      <c r="A12" s="7">
        <f>'[1]Cash Variance'!A13</f>
        <v>45849</v>
      </c>
      <c r="B12" s="8">
        <v>2610.14</v>
      </c>
      <c r="C12" s="8">
        <v>9.9</v>
      </c>
      <c r="D12" s="9">
        <v>208.95</v>
      </c>
      <c r="E12" s="9">
        <v>34.58</v>
      </c>
      <c r="F12" s="10">
        <f t="shared" si="3"/>
        <v>2863.5699999999997</v>
      </c>
      <c r="G12" s="9">
        <v>488.81</v>
      </c>
      <c r="H12" s="9">
        <f>1710.4-2.43</f>
        <v>1707.97</v>
      </c>
      <c r="I12" s="9">
        <v>12.94</v>
      </c>
      <c r="J12" s="9">
        <v>598.41999999999996</v>
      </c>
      <c r="K12" s="9">
        <v>0</v>
      </c>
      <c r="L12" s="9">
        <v>55.43</v>
      </c>
      <c r="M12" s="9">
        <v>0</v>
      </c>
      <c r="N12" s="11">
        <f t="shared" si="0"/>
        <v>2863.57</v>
      </c>
      <c r="O12" s="11">
        <f t="shared" si="1"/>
        <v>0</v>
      </c>
      <c r="P12" s="9">
        <v>488.81</v>
      </c>
      <c r="Q12" s="12">
        <v>45852</v>
      </c>
      <c r="R12" s="13"/>
      <c r="S12" s="14">
        <f t="shared" si="2"/>
        <v>0</v>
      </c>
    </row>
    <row r="13" spans="1:19" x14ac:dyDescent="0.25">
      <c r="A13" s="7">
        <f>'[1]Cash Variance'!A14</f>
        <v>45850</v>
      </c>
      <c r="B13" s="8">
        <v>1745.35</v>
      </c>
      <c r="C13" s="8">
        <v>13.54</v>
      </c>
      <c r="D13" s="9">
        <v>139.72999999999999</v>
      </c>
      <c r="E13" s="9">
        <v>5.25</v>
      </c>
      <c r="F13" s="10">
        <f t="shared" si="3"/>
        <v>1903.87</v>
      </c>
      <c r="G13" s="9">
        <v>371.8</v>
      </c>
      <c r="H13" s="9">
        <v>1303.1500000000001</v>
      </c>
      <c r="I13" s="9">
        <v>0</v>
      </c>
      <c r="J13" s="9">
        <v>229.24</v>
      </c>
      <c r="K13" s="9">
        <v>0</v>
      </c>
      <c r="L13" s="9">
        <v>0</v>
      </c>
      <c r="M13" s="9">
        <v>0</v>
      </c>
      <c r="N13" s="11">
        <f t="shared" si="0"/>
        <v>1904.19</v>
      </c>
      <c r="O13" s="11">
        <f t="shared" si="1"/>
        <v>-0.32000000000016371</v>
      </c>
      <c r="P13" s="9">
        <v>371</v>
      </c>
      <c r="Q13" s="12">
        <v>45852</v>
      </c>
      <c r="R13" s="13"/>
      <c r="S13" s="14">
        <f t="shared" si="2"/>
        <v>-0.80000000000001137</v>
      </c>
    </row>
    <row r="14" spans="1:19" x14ac:dyDescent="0.25">
      <c r="A14" s="7">
        <f>'[1]Cash Variance'!A15</f>
        <v>45851</v>
      </c>
      <c r="B14" s="8">
        <v>1958.89</v>
      </c>
      <c r="C14" s="8">
        <v>8.98</v>
      </c>
      <c r="D14" s="9">
        <v>156.86000000000001</v>
      </c>
      <c r="E14" s="9">
        <v>15.37</v>
      </c>
      <c r="F14" s="10">
        <f t="shared" si="3"/>
        <v>2140.1</v>
      </c>
      <c r="G14" s="9">
        <v>394.9</v>
      </c>
      <c r="H14" s="9">
        <f>1367.63-7.48</f>
        <v>1360.15</v>
      </c>
      <c r="I14" s="9">
        <v>0</v>
      </c>
      <c r="J14" s="9">
        <v>303.32</v>
      </c>
      <c r="K14" s="9">
        <v>0</v>
      </c>
      <c r="L14" s="9">
        <v>81.73</v>
      </c>
      <c r="M14" s="9">
        <v>0</v>
      </c>
      <c r="N14" s="11">
        <f t="shared" si="0"/>
        <v>2140.1000000000004</v>
      </c>
      <c r="O14" s="11">
        <f t="shared" si="1"/>
        <v>0</v>
      </c>
      <c r="P14" s="9">
        <v>395</v>
      </c>
      <c r="Q14" s="12">
        <v>45856</v>
      </c>
      <c r="R14" s="13"/>
      <c r="S14" s="14">
        <f t="shared" si="2"/>
        <v>0.10000000000002274</v>
      </c>
    </row>
    <row r="15" spans="1:19" x14ac:dyDescent="0.25">
      <c r="A15" s="7">
        <f>'[1]Cash Variance'!A16</f>
        <v>45852</v>
      </c>
      <c r="B15" s="8">
        <v>1541.21</v>
      </c>
      <c r="C15" s="8">
        <v>9.24</v>
      </c>
      <c r="D15" s="9">
        <v>123.39</v>
      </c>
      <c r="E15" s="9">
        <v>6.48</v>
      </c>
      <c r="F15" s="10">
        <f t="shared" si="3"/>
        <v>1680.3200000000002</v>
      </c>
      <c r="G15" s="9">
        <v>255.86</v>
      </c>
      <c r="H15" s="9">
        <v>1096.1400000000001</v>
      </c>
      <c r="I15" s="9">
        <v>0</v>
      </c>
      <c r="J15" s="9">
        <v>313.89999999999998</v>
      </c>
      <c r="K15" s="9">
        <v>0</v>
      </c>
      <c r="L15" s="9">
        <v>14.75</v>
      </c>
      <c r="M15" s="9">
        <v>0</v>
      </c>
      <c r="N15" s="11">
        <f t="shared" si="0"/>
        <v>1680.65</v>
      </c>
      <c r="O15" s="11">
        <f t="shared" si="1"/>
        <v>-0.32999999999992724</v>
      </c>
      <c r="P15" s="9">
        <v>255.86</v>
      </c>
      <c r="Q15" s="12">
        <v>45856</v>
      </c>
      <c r="R15" s="13"/>
      <c r="S15" s="14">
        <f t="shared" si="2"/>
        <v>0</v>
      </c>
    </row>
    <row r="16" spans="1:19" x14ac:dyDescent="0.25">
      <c r="A16" s="7">
        <f>'[1]Cash Variance'!A17</f>
        <v>45853</v>
      </c>
      <c r="B16" s="8">
        <v>1735.27</v>
      </c>
      <c r="C16" s="8">
        <v>13.15</v>
      </c>
      <c r="D16" s="9">
        <v>138.91</v>
      </c>
      <c r="E16" s="9">
        <v>2.0499999999999998</v>
      </c>
      <c r="F16" s="10">
        <f t="shared" si="3"/>
        <v>1889.38</v>
      </c>
      <c r="G16" s="9">
        <v>486.11</v>
      </c>
      <c r="H16" s="9">
        <v>944.09</v>
      </c>
      <c r="I16" s="9">
        <v>0</v>
      </c>
      <c r="J16" s="9">
        <v>459.82</v>
      </c>
      <c r="K16" s="9">
        <v>0</v>
      </c>
      <c r="L16" s="9">
        <v>0</v>
      </c>
      <c r="M16" s="9">
        <v>0</v>
      </c>
      <c r="N16" s="11">
        <f t="shared" si="0"/>
        <v>1890.02</v>
      </c>
      <c r="O16" s="11">
        <f t="shared" si="1"/>
        <v>-0.63999999999987267</v>
      </c>
      <c r="P16" s="9">
        <v>486.11</v>
      </c>
      <c r="Q16" s="12">
        <v>45856</v>
      </c>
      <c r="R16" s="13"/>
      <c r="S16" s="14">
        <f t="shared" si="2"/>
        <v>0</v>
      </c>
    </row>
    <row r="17" spans="1:19" x14ac:dyDescent="0.25">
      <c r="A17" s="7">
        <f>'[1]Cash Variance'!A18</f>
        <v>45854</v>
      </c>
      <c r="B17" s="8">
        <v>1581.82</v>
      </c>
      <c r="C17" s="8">
        <v>13.31</v>
      </c>
      <c r="D17" s="9">
        <v>126.65</v>
      </c>
      <c r="E17" s="9">
        <v>12.6</v>
      </c>
      <c r="F17" s="10">
        <f t="shared" si="3"/>
        <v>1734.3799999999999</v>
      </c>
      <c r="G17" s="9">
        <v>263.42</v>
      </c>
      <c r="H17" s="9">
        <v>1084.29</v>
      </c>
      <c r="I17" s="9">
        <v>0</v>
      </c>
      <c r="J17" s="9">
        <v>386.98</v>
      </c>
      <c r="K17" s="9">
        <v>0</v>
      </c>
      <c r="L17" s="9">
        <v>0</v>
      </c>
      <c r="M17" s="9">
        <v>0</v>
      </c>
      <c r="N17" s="11">
        <f t="shared" si="0"/>
        <v>1734.69</v>
      </c>
      <c r="O17" s="11">
        <f t="shared" si="1"/>
        <v>-0.3100000000001728</v>
      </c>
      <c r="P17" s="9">
        <v>263.45</v>
      </c>
      <c r="Q17" s="12">
        <v>45856</v>
      </c>
      <c r="R17" s="13"/>
      <c r="S17" s="14">
        <f t="shared" si="2"/>
        <v>2.9999999999972715E-2</v>
      </c>
    </row>
    <row r="18" spans="1:19" x14ac:dyDescent="0.25">
      <c r="A18" s="7">
        <f>'[1]Cash Variance'!A19</f>
        <v>45855</v>
      </c>
      <c r="B18" s="8">
        <v>2015.82</v>
      </c>
      <c r="C18" s="8">
        <v>8.73</v>
      </c>
      <c r="D18" s="9">
        <v>161.03</v>
      </c>
      <c r="E18" s="9">
        <v>27.08</v>
      </c>
      <c r="F18" s="10">
        <f t="shared" si="3"/>
        <v>2212.66</v>
      </c>
      <c r="G18" s="9">
        <v>365.26</v>
      </c>
      <c r="H18" s="9">
        <f>1528.35+4.52</f>
        <v>1532.87</v>
      </c>
      <c r="I18" s="9">
        <v>0</v>
      </c>
      <c r="J18" s="9">
        <v>314.52999999999997</v>
      </c>
      <c r="K18" s="9">
        <v>0</v>
      </c>
      <c r="L18" s="9">
        <v>0</v>
      </c>
      <c r="M18" s="9">
        <v>0</v>
      </c>
      <c r="N18" s="11">
        <f t="shared" si="0"/>
        <v>2212.66</v>
      </c>
      <c r="O18" s="11">
        <f t="shared" si="1"/>
        <v>0</v>
      </c>
      <c r="P18" s="9">
        <v>365.26</v>
      </c>
      <c r="Q18" s="12">
        <v>45863</v>
      </c>
      <c r="R18" s="13"/>
      <c r="S18" s="14">
        <f t="shared" si="2"/>
        <v>0</v>
      </c>
    </row>
    <row r="19" spans="1:19" x14ac:dyDescent="0.25">
      <c r="A19" s="7">
        <f>'[1]Cash Variance'!A20</f>
        <v>45856</v>
      </c>
      <c r="B19" s="8">
        <v>2254.12</v>
      </c>
      <c r="C19" s="8">
        <v>5.48</v>
      </c>
      <c r="D19" s="9">
        <v>180.51</v>
      </c>
      <c r="E19" s="9">
        <v>0</v>
      </c>
      <c r="F19" s="10">
        <f t="shared" si="3"/>
        <v>2440.1099999999997</v>
      </c>
      <c r="G19" s="9">
        <v>385.77</v>
      </c>
      <c r="H19" s="9">
        <v>1584.99</v>
      </c>
      <c r="I19" s="9">
        <v>30.21</v>
      </c>
      <c r="J19" s="9">
        <v>411.23</v>
      </c>
      <c r="K19" s="9">
        <v>0</v>
      </c>
      <c r="L19" s="9">
        <v>28.3</v>
      </c>
      <c r="M19" s="9">
        <v>0</v>
      </c>
      <c r="N19" s="11">
        <f t="shared" si="0"/>
        <v>2440.5</v>
      </c>
      <c r="O19" s="11">
        <f t="shared" si="1"/>
        <v>-0.39000000000032742</v>
      </c>
      <c r="P19" s="9">
        <v>415.77</v>
      </c>
      <c r="Q19" s="12">
        <v>45863</v>
      </c>
      <c r="R19" s="13"/>
      <c r="S19" s="14">
        <f t="shared" si="2"/>
        <v>30</v>
      </c>
    </row>
    <row r="20" spans="1:19" x14ac:dyDescent="0.25">
      <c r="A20" s="7">
        <f>'[1]Cash Variance'!A21</f>
        <v>45857</v>
      </c>
      <c r="B20" s="8">
        <v>1955.17</v>
      </c>
      <c r="C20" s="8">
        <v>8.92</v>
      </c>
      <c r="D20" s="9">
        <v>156.52000000000001</v>
      </c>
      <c r="E20" s="9">
        <v>0</v>
      </c>
      <c r="F20" s="10">
        <f t="shared" si="3"/>
        <v>2120.61</v>
      </c>
      <c r="G20" s="9">
        <v>616.62</v>
      </c>
      <c r="H20" s="9">
        <v>1003.76</v>
      </c>
      <c r="I20" s="9">
        <v>33.1</v>
      </c>
      <c r="J20" s="9">
        <v>422.12</v>
      </c>
      <c r="K20" s="9">
        <v>0</v>
      </c>
      <c r="L20" s="9">
        <v>45.68</v>
      </c>
      <c r="M20" s="9">
        <v>0</v>
      </c>
      <c r="N20" s="11">
        <f t="shared" si="0"/>
        <v>2121.2799999999997</v>
      </c>
      <c r="O20" s="11">
        <f t="shared" si="1"/>
        <v>-0.66999999999961801</v>
      </c>
      <c r="P20" s="9">
        <v>616.62</v>
      </c>
      <c r="Q20" s="12">
        <v>45863</v>
      </c>
      <c r="R20" s="13"/>
      <c r="S20" s="14">
        <f t="shared" si="2"/>
        <v>0</v>
      </c>
    </row>
    <row r="21" spans="1:19" x14ac:dyDescent="0.25">
      <c r="A21" s="7">
        <f>'[1]Cash Variance'!A22</f>
        <v>45858</v>
      </c>
      <c r="B21" s="8">
        <v>1703.97</v>
      </c>
      <c r="C21" s="8">
        <v>8.81</v>
      </c>
      <c r="D21" s="9">
        <v>136.47</v>
      </c>
      <c r="E21" s="9">
        <v>2.7</v>
      </c>
      <c r="F21" s="10">
        <f t="shared" si="3"/>
        <v>1851.95</v>
      </c>
      <c r="G21" s="9">
        <v>554.41</v>
      </c>
      <c r="H21" s="9">
        <v>902.19</v>
      </c>
      <c r="I21" s="9">
        <v>0</v>
      </c>
      <c r="J21" s="9">
        <v>395.69</v>
      </c>
      <c r="K21" s="9">
        <v>0</v>
      </c>
      <c r="L21" s="9">
        <v>0</v>
      </c>
      <c r="M21" s="9">
        <v>0</v>
      </c>
      <c r="N21" s="11">
        <f t="shared" si="0"/>
        <v>1852.29</v>
      </c>
      <c r="O21" s="11">
        <f t="shared" si="1"/>
        <v>-0.33999999999991815</v>
      </c>
      <c r="P21" s="9">
        <v>554.5</v>
      </c>
      <c r="Q21" s="12">
        <v>45863</v>
      </c>
      <c r="R21" s="13"/>
      <c r="S21" s="14">
        <f t="shared" si="2"/>
        <v>9.0000000000031832E-2</v>
      </c>
    </row>
    <row r="22" spans="1:19" x14ac:dyDescent="0.25">
      <c r="A22" s="7">
        <f>'[1]Cash Variance'!A23</f>
        <v>45859</v>
      </c>
      <c r="B22" s="8">
        <v>1339.23</v>
      </c>
      <c r="C22" s="8">
        <v>3.3</v>
      </c>
      <c r="D22" s="9">
        <v>107.25</v>
      </c>
      <c r="E22" s="9">
        <v>0</v>
      </c>
      <c r="F22" s="10">
        <f t="shared" si="3"/>
        <v>1449.78</v>
      </c>
      <c r="G22" s="9">
        <v>409.27</v>
      </c>
      <c r="H22" s="9">
        <v>728.26</v>
      </c>
      <c r="I22" s="9">
        <v>0</v>
      </c>
      <c r="J22" s="9">
        <v>312.45999999999998</v>
      </c>
      <c r="K22" s="9">
        <v>0</v>
      </c>
      <c r="L22" s="9">
        <v>0</v>
      </c>
      <c r="M22" s="9">
        <v>0</v>
      </c>
      <c r="N22" s="11">
        <f t="shared" si="0"/>
        <v>1449.99</v>
      </c>
      <c r="O22" s="11">
        <f t="shared" si="1"/>
        <v>-0.21000000000003638</v>
      </c>
      <c r="P22" s="9">
        <v>409.27</v>
      </c>
      <c r="Q22" s="12">
        <v>45863</v>
      </c>
      <c r="R22" s="13"/>
      <c r="S22" s="14">
        <f t="shared" si="2"/>
        <v>0</v>
      </c>
    </row>
    <row r="23" spans="1:19" x14ac:dyDescent="0.25">
      <c r="A23" s="7">
        <f>'[1]Cash Variance'!A24</f>
        <v>45860</v>
      </c>
      <c r="B23" s="8">
        <v>1980.82</v>
      </c>
      <c r="C23" s="8">
        <v>4.49</v>
      </c>
      <c r="D23" s="9">
        <v>158.61000000000001</v>
      </c>
      <c r="E23" s="9">
        <v>9.7200000000000006</v>
      </c>
      <c r="F23" s="10">
        <f t="shared" si="3"/>
        <v>2153.64</v>
      </c>
      <c r="G23" s="9">
        <v>380.28</v>
      </c>
      <c r="H23" s="9">
        <f>1333.25-2.12</f>
        <v>1331.13</v>
      </c>
      <c r="I23" s="9">
        <v>0</v>
      </c>
      <c r="J23" s="9">
        <v>442.23</v>
      </c>
      <c r="K23" s="9">
        <v>0</v>
      </c>
      <c r="L23" s="9">
        <v>0</v>
      </c>
      <c r="M23" s="9">
        <v>0</v>
      </c>
      <c r="N23" s="11">
        <f t="shared" si="0"/>
        <v>2153.6400000000003</v>
      </c>
      <c r="O23" s="11">
        <f t="shared" si="1"/>
        <v>0</v>
      </c>
      <c r="P23" s="9">
        <v>380.35</v>
      </c>
      <c r="Q23" s="12">
        <v>45863</v>
      </c>
      <c r="R23" s="13"/>
      <c r="S23" s="14">
        <f t="shared" si="2"/>
        <v>7.0000000000050022E-2</v>
      </c>
    </row>
    <row r="24" spans="1:19" x14ac:dyDescent="0.25">
      <c r="A24" s="7">
        <f>'[1]Cash Variance'!A25</f>
        <v>45861</v>
      </c>
      <c r="B24" s="8">
        <v>1791.29</v>
      </c>
      <c r="C24" s="8">
        <v>7.85</v>
      </c>
      <c r="D24" s="9">
        <v>143.38999999999999</v>
      </c>
      <c r="E24" s="9">
        <v>9.6300000000000008</v>
      </c>
      <c r="F24" s="10">
        <f t="shared" si="3"/>
        <v>1952.1599999999999</v>
      </c>
      <c r="G24" s="9">
        <v>461.55</v>
      </c>
      <c r="H24" s="9">
        <f>1123.66-2.91</f>
        <v>1120.75</v>
      </c>
      <c r="I24" s="9">
        <v>15.1</v>
      </c>
      <c r="J24" s="9">
        <v>329.76</v>
      </c>
      <c r="K24" s="9">
        <v>0</v>
      </c>
      <c r="L24" s="9">
        <v>25</v>
      </c>
      <c r="M24" s="9">
        <v>0</v>
      </c>
      <c r="N24" s="11">
        <f t="shared" si="0"/>
        <v>1952.1599999999999</v>
      </c>
      <c r="O24" s="11">
        <f t="shared" si="1"/>
        <v>0</v>
      </c>
      <c r="P24" s="9">
        <v>461.55</v>
      </c>
      <c r="Q24" s="12">
        <v>45863</v>
      </c>
      <c r="R24" s="13"/>
      <c r="S24" s="14">
        <f t="shared" si="2"/>
        <v>0</v>
      </c>
    </row>
    <row r="25" spans="1:19" x14ac:dyDescent="0.25">
      <c r="A25" s="7">
        <f>'[1]Cash Variance'!A26</f>
        <v>45862</v>
      </c>
      <c r="B25" s="8">
        <v>2345.1999999999998</v>
      </c>
      <c r="C25" s="8">
        <v>17.899999999999999</v>
      </c>
      <c r="D25" s="9">
        <v>187.72</v>
      </c>
      <c r="E25" s="9">
        <v>17.07</v>
      </c>
      <c r="F25" s="10">
        <f t="shared" si="3"/>
        <v>2567.89</v>
      </c>
      <c r="G25" s="9">
        <v>674.08</v>
      </c>
      <c r="H25" s="9">
        <f>1532.94-1.76</f>
        <v>1531.18</v>
      </c>
      <c r="I25" s="9">
        <v>0</v>
      </c>
      <c r="J25" s="9">
        <v>362.63</v>
      </c>
      <c r="K25" s="9">
        <v>0</v>
      </c>
      <c r="L25" s="9">
        <v>0</v>
      </c>
      <c r="M25" s="9">
        <v>0</v>
      </c>
      <c r="N25" s="11">
        <f t="shared" si="0"/>
        <v>2567.8900000000003</v>
      </c>
      <c r="O25" s="11">
        <f t="shared" si="1"/>
        <v>0</v>
      </c>
      <c r="P25" s="9">
        <v>674.08</v>
      </c>
      <c r="Q25" s="12">
        <v>45868</v>
      </c>
      <c r="R25" s="13"/>
      <c r="S25" s="14">
        <f t="shared" si="2"/>
        <v>0</v>
      </c>
    </row>
    <row r="26" spans="1:19" x14ac:dyDescent="0.25">
      <c r="A26" s="7">
        <f>'[1]Cash Variance'!A27</f>
        <v>45863</v>
      </c>
      <c r="B26" s="8">
        <v>2241.88</v>
      </c>
      <c r="C26" s="8">
        <v>8.9700000000000006</v>
      </c>
      <c r="D26" s="9">
        <v>179.5</v>
      </c>
      <c r="E26" s="9">
        <v>18.32</v>
      </c>
      <c r="F26" s="10">
        <f t="shared" si="3"/>
        <v>2448.67</v>
      </c>
      <c r="G26" s="9">
        <v>618.80999999999995</v>
      </c>
      <c r="H26" s="9">
        <f>1397.45-1.73</f>
        <v>1395.72</v>
      </c>
      <c r="I26" s="9">
        <v>18.34</v>
      </c>
      <c r="J26" s="9">
        <v>365.82</v>
      </c>
      <c r="K26" s="9">
        <v>0</v>
      </c>
      <c r="L26" s="9">
        <v>29.98</v>
      </c>
      <c r="M26" s="9">
        <v>20</v>
      </c>
      <c r="N26" s="11">
        <f t="shared" si="0"/>
        <v>2448.67</v>
      </c>
      <c r="O26" s="11">
        <f t="shared" si="1"/>
        <v>0</v>
      </c>
      <c r="P26" s="9">
        <v>618.80999999999995</v>
      </c>
      <c r="Q26" s="12">
        <v>45868</v>
      </c>
      <c r="R26" s="13"/>
      <c r="S26" s="14">
        <f t="shared" si="2"/>
        <v>0</v>
      </c>
    </row>
    <row r="27" spans="1:19" x14ac:dyDescent="0.25">
      <c r="A27" s="7">
        <f>'[1]Cash Variance'!A28</f>
        <v>45864</v>
      </c>
      <c r="B27" s="8">
        <v>2144.67</v>
      </c>
      <c r="C27" s="8">
        <v>9.23</v>
      </c>
      <c r="D27" s="9">
        <v>171.73</v>
      </c>
      <c r="E27" s="9">
        <v>9</v>
      </c>
      <c r="F27" s="10">
        <f t="shared" si="3"/>
        <v>2334.63</v>
      </c>
      <c r="G27" s="9">
        <v>529.67999999999995</v>
      </c>
      <c r="H27" s="9">
        <f>1357.91-2.41</f>
        <v>1355.5</v>
      </c>
      <c r="I27" s="9">
        <v>8.09</v>
      </c>
      <c r="J27" s="9">
        <v>426.07</v>
      </c>
      <c r="K27" s="9">
        <v>0</v>
      </c>
      <c r="L27" s="9">
        <v>0</v>
      </c>
      <c r="M27" s="9">
        <v>15.29</v>
      </c>
      <c r="N27" s="11">
        <f t="shared" si="0"/>
        <v>2334.6299999999997</v>
      </c>
      <c r="O27" s="11">
        <f t="shared" si="1"/>
        <v>0</v>
      </c>
      <c r="P27" s="9">
        <v>529.67999999999995</v>
      </c>
      <c r="Q27" s="12">
        <v>45868</v>
      </c>
      <c r="R27" s="13"/>
      <c r="S27" s="14">
        <f t="shared" si="2"/>
        <v>0</v>
      </c>
    </row>
    <row r="28" spans="1:19" x14ac:dyDescent="0.25">
      <c r="A28" s="7">
        <f>'[1]Cash Variance'!A29</f>
        <v>45865</v>
      </c>
      <c r="B28" s="8">
        <v>1647.52</v>
      </c>
      <c r="C28" s="8">
        <v>9.84</v>
      </c>
      <c r="D28" s="9">
        <v>131.9</v>
      </c>
      <c r="E28" s="9">
        <v>1.9</v>
      </c>
      <c r="F28" s="10">
        <f t="shared" si="3"/>
        <v>1791.16</v>
      </c>
      <c r="G28" s="9">
        <v>403.28</v>
      </c>
      <c r="H28" s="9">
        <f>865.72-3.85</f>
        <v>861.87</v>
      </c>
      <c r="I28" s="9">
        <v>0</v>
      </c>
      <c r="J28" s="9">
        <v>526.01</v>
      </c>
      <c r="K28" s="9">
        <v>0</v>
      </c>
      <c r="L28" s="9">
        <v>0</v>
      </c>
      <c r="M28" s="9">
        <v>0</v>
      </c>
      <c r="N28" s="11">
        <f t="shared" si="0"/>
        <v>1791.16</v>
      </c>
      <c r="O28" s="11">
        <f t="shared" si="1"/>
        <v>0</v>
      </c>
      <c r="P28" s="9">
        <v>403.28</v>
      </c>
      <c r="Q28" s="12">
        <v>45868</v>
      </c>
      <c r="R28" s="13"/>
      <c r="S28" s="14">
        <f t="shared" si="2"/>
        <v>0</v>
      </c>
    </row>
    <row r="29" spans="1:19" x14ac:dyDescent="0.25">
      <c r="A29" s="7">
        <f>'[1]Cash Variance'!A30</f>
        <v>45866</v>
      </c>
      <c r="B29" s="8">
        <v>1186.23</v>
      </c>
      <c r="C29" s="8">
        <v>4.49</v>
      </c>
      <c r="D29" s="9">
        <v>94.98</v>
      </c>
      <c r="E29" s="9">
        <v>0</v>
      </c>
      <c r="F29" s="10">
        <f t="shared" si="3"/>
        <v>1285.7</v>
      </c>
      <c r="G29" s="9">
        <v>265.27</v>
      </c>
      <c r="H29" s="9">
        <v>725.02</v>
      </c>
      <c r="I29" s="9">
        <v>0</v>
      </c>
      <c r="J29" s="9">
        <v>295.39</v>
      </c>
      <c r="K29" s="9">
        <v>0</v>
      </c>
      <c r="L29" s="9">
        <v>0</v>
      </c>
      <c r="M29" s="9">
        <v>0</v>
      </c>
      <c r="N29" s="11">
        <f t="shared" si="0"/>
        <v>1285.6799999999998</v>
      </c>
      <c r="O29" s="11">
        <f t="shared" si="1"/>
        <v>2.0000000000209184E-2</v>
      </c>
      <c r="P29" s="9">
        <v>265.27</v>
      </c>
      <c r="Q29" s="12">
        <v>45868</v>
      </c>
      <c r="R29" s="13"/>
      <c r="S29" s="14">
        <f t="shared" si="2"/>
        <v>0</v>
      </c>
    </row>
    <row r="30" spans="1:19" x14ac:dyDescent="0.25">
      <c r="A30" s="7">
        <f>'[1]Cash Variance'!A31</f>
        <v>45867</v>
      </c>
      <c r="B30" s="8">
        <v>2239.63</v>
      </c>
      <c r="C30" s="8">
        <v>18.5</v>
      </c>
      <c r="D30" s="9">
        <v>179.28</v>
      </c>
      <c r="E30" s="9">
        <v>7.61</v>
      </c>
      <c r="F30" s="10">
        <f t="shared" si="3"/>
        <v>2445.0200000000004</v>
      </c>
      <c r="G30" s="9">
        <v>514.9</v>
      </c>
      <c r="H30" s="9">
        <v>1215.06</v>
      </c>
      <c r="I30" s="9">
        <v>0</v>
      </c>
      <c r="J30" s="9">
        <v>682.48</v>
      </c>
      <c r="K30" s="9">
        <v>0</v>
      </c>
      <c r="L30" s="9">
        <v>32.9</v>
      </c>
      <c r="M30" s="9">
        <v>0</v>
      </c>
      <c r="N30" s="11">
        <f t="shared" si="0"/>
        <v>2445.34</v>
      </c>
      <c r="O30" s="11">
        <f t="shared" si="1"/>
        <v>-0.31999999999970896</v>
      </c>
      <c r="P30" s="9"/>
      <c r="Q30" s="12"/>
      <c r="R30" s="13"/>
      <c r="S30" s="14">
        <f t="shared" si="2"/>
        <v>-514.9</v>
      </c>
    </row>
    <row r="31" spans="1:19" x14ac:dyDescent="0.25">
      <c r="A31" s="7">
        <f>'[1]Cash Variance'!A32</f>
        <v>45868</v>
      </c>
      <c r="B31" s="8">
        <v>1832.48</v>
      </c>
      <c r="C31" s="8">
        <v>9.74</v>
      </c>
      <c r="D31" s="9">
        <v>146.21</v>
      </c>
      <c r="E31" s="9">
        <v>8.68</v>
      </c>
      <c r="F31" s="10">
        <f t="shared" si="3"/>
        <v>1997.1100000000001</v>
      </c>
      <c r="G31" s="9">
        <v>399.31</v>
      </c>
      <c r="H31" s="9">
        <v>1247.99</v>
      </c>
      <c r="I31" s="9">
        <v>0</v>
      </c>
      <c r="J31" s="9">
        <v>350.02</v>
      </c>
      <c r="K31" s="9">
        <v>0</v>
      </c>
      <c r="L31" s="9">
        <v>0</v>
      </c>
      <c r="M31" s="9">
        <v>1.05</v>
      </c>
      <c r="N31" s="11">
        <f t="shared" si="0"/>
        <v>1998.37</v>
      </c>
      <c r="O31" s="11">
        <f t="shared" si="1"/>
        <v>-1.2599999999997635</v>
      </c>
      <c r="P31" s="9"/>
      <c r="Q31" s="12"/>
      <c r="R31" s="13"/>
      <c r="S31" s="14">
        <f t="shared" si="2"/>
        <v>-399.31</v>
      </c>
    </row>
    <row r="32" spans="1:19" ht="15.75" thickBot="1" x14ac:dyDescent="0.3">
      <c r="A32" s="7">
        <f>'[1]Cash Variance'!A33</f>
        <v>45869</v>
      </c>
      <c r="B32" s="8">
        <v>1979.17</v>
      </c>
      <c r="C32" s="8">
        <v>23.21</v>
      </c>
      <c r="D32" s="9">
        <v>158.46</v>
      </c>
      <c r="E32" s="9">
        <v>3.87</v>
      </c>
      <c r="F32" s="10">
        <f t="shared" si="3"/>
        <v>2164.71</v>
      </c>
      <c r="G32" s="9">
        <v>479.7</v>
      </c>
      <c r="H32" s="9">
        <f>1092.02-5.26</f>
        <v>1086.76</v>
      </c>
      <c r="I32" s="9">
        <v>0</v>
      </c>
      <c r="J32" s="9">
        <v>539.07000000000005</v>
      </c>
      <c r="K32" s="9">
        <v>0</v>
      </c>
      <c r="L32" s="9">
        <v>54.96</v>
      </c>
      <c r="M32" s="9">
        <v>4.22</v>
      </c>
      <c r="N32" s="11">
        <f t="shared" si="0"/>
        <v>2164.71</v>
      </c>
      <c r="O32" s="11">
        <f t="shared" si="1"/>
        <v>0</v>
      </c>
      <c r="P32" s="9"/>
      <c r="Q32" s="12"/>
      <c r="R32" s="13"/>
      <c r="S32" s="14">
        <f t="shared" si="2"/>
        <v>-479.7</v>
      </c>
    </row>
    <row r="33" spans="1:19" ht="15.75" thickBot="1" x14ac:dyDescent="0.3">
      <c r="A33" s="16" t="s">
        <v>8</v>
      </c>
      <c r="B33" s="17">
        <f t="shared" ref="B33:M33" si="4">SUM(B2:B32)</f>
        <v>58583.539999999994</v>
      </c>
      <c r="C33" s="17">
        <f t="shared" si="4"/>
        <v>368.12</v>
      </c>
      <c r="D33" s="17">
        <f>SUM(D2:D32)</f>
        <v>4689.3999999999987</v>
      </c>
      <c r="E33" s="17">
        <f>SUM(E2:E32)</f>
        <v>286.20999999999998</v>
      </c>
      <c r="F33" s="18">
        <f>SUM(F2:F32)</f>
        <v>63927.269999999982</v>
      </c>
      <c r="G33" s="17">
        <f>SUM(G2:G32)</f>
        <v>13781.070000000002</v>
      </c>
      <c r="H33" s="17">
        <f>SUM(H2:H32)</f>
        <v>36727.089999999997</v>
      </c>
      <c r="I33" s="17">
        <f t="shared" si="4"/>
        <v>232.13</v>
      </c>
      <c r="J33" s="17">
        <f t="shared" si="4"/>
        <v>12572.459999999995</v>
      </c>
      <c r="K33" s="17">
        <f t="shared" si="4"/>
        <v>0</v>
      </c>
      <c r="L33" s="17">
        <f t="shared" si="4"/>
        <v>540.36</v>
      </c>
      <c r="M33" s="17">
        <f t="shared" si="4"/>
        <v>82.149999999999991</v>
      </c>
      <c r="N33" s="18">
        <f>SUM(N2:N32)</f>
        <v>63935.259999999995</v>
      </c>
      <c r="O33" s="18">
        <f t="shared" ref="O33:R33" si="5">SUM(O2:O32)</f>
        <v>-7.9899999999988722</v>
      </c>
      <c r="P33" s="17">
        <f>SUM(P2:P32)</f>
        <v>12191.099999999999</v>
      </c>
      <c r="Q33" s="17"/>
      <c r="R33" s="17">
        <f t="shared" si="5"/>
        <v>0</v>
      </c>
      <c r="S33" s="18">
        <f>SUM(S2:S32)</f>
        <v>-1589.9699999999998</v>
      </c>
    </row>
    <row r="34" spans="1:19" x14ac:dyDescent="0.25">
      <c r="A34" s="19" t="s">
        <v>0</v>
      </c>
      <c r="B34" s="20">
        <f>+B33</f>
        <v>58583.539999999994</v>
      </c>
      <c r="C34" s="20">
        <f>+C33</f>
        <v>368.12</v>
      </c>
      <c r="D34" s="20">
        <f>+D33</f>
        <v>4689.3999999999987</v>
      </c>
      <c r="E34" s="20">
        <f>+E33</f>
        <v>286.20999999999998</v>
      </c>
      <c r="F34" s="19"/>
      <c r="G34" s="20">
        <f>+G33</f>
        <v>13781.070000000002</v>
      </c>
      <c r="H34" s="19"/>
      <c r="I34" s="19"/>
      <c r="J34" s="20">
        <f>+J33</f>
        <v>12572.459999999995</v>
      </c>
      <c r="K34" s="20">
        <f>+K33</f>
        <v>0</v>
      </c>
      <c r="L34" s="20">
        <f>+L33</f>
        <v>540.36</v>
      </c>
      <c r="M34" s="20">
        <f>+M33</f>
        <v>82.149999999999991</v>
      </c>
      <c r="N34" s="19"/>
      <c r="O34" s="19"/>
      <c r="P34" s="19"/>
      <c r="Q34" s="19"/>
      <c r="R34" s="19"/>
      <c r="S34" s="19"/>
    </row>
    <row r="35" spans="1:19" x14ac:dyDescent="0.25">
      <c r="A35" s="21" t="s">
        <v>9</v>
      </c>
      <c r="B35" s="22">
        <f>+B33</f>
        <v>58583.539999999994</v>
      </c>
      <c r="C35" s="22">
        <f>+C33</f>
        <v>368.12</v>
      </c>
      <c r="D35" s="22">
        <f>+D33</f>
        <v>4689.3999999999987</v>
      </c>
      <c r="E35" s="22">
        <f>+E33</f>
        <v>286.20999999999998</v>
      </c>
      <c r="F35" s="21"/>
      <c r="G35" s="22">
        <f>+G33</f>
        <v>13781.070000000002</v>
      </c>
      <c r="H35" s="21"/>
      <c r="I35" s="21"/>
      <c r="J35" s="22">
        <f>+J33</f>
        <v>12572.459999999995</v>
      </c>
      <c r="K35" s="22">
        <f>+K34</f>
        <v>0</v>
      </c>
      <c r="L35" s="22">
        <f>+L33</f>
        <v>540.36</v>
      </c>
      <c r="M35" s="22">
        <f>+M33</f>
        <v>82.149999999999991</v>
      </c>
      <c r="N35" s="21"/>
      <c r="O35" s="21"/>
      <c r="P35" s="23"/>
      <c r="Q35" s="24"/>
      <c r="R35" s="21"/>
      <c r="S35" s="21"/>
    </row>
    <row r="36" spans="1:19" x14ac:dyDescent="0.25">
      <c r="A36" s="21"/>
      <c r="B36" s="21"/>
      <c r="C36" s="21"/>
      <c r="D36" s="21"/>
      <c r="E36" s="21"/>
      <c r="F36" s="21"/>
      <c r="G36" s="21"/>
      <c r="H36" s="31" t="s">
        <v>10</v>
      </c>
      <c r="I36" s="31"/>
      <c r="J36" s="26">
        <v>15094.39</v>
      </c>
      <c r="K36" s="25">
        <v>0</v>
      </c>
      <c r="L36" s="25">
        <f>616.44+38.52</f>
        <v>654.96</v>
      </c>
      <c r="M36" s="21"/>
      <c r="N36" s="21"/>
      <c r="O36" s="21"/>
      <c r="P36" s="21"/>
      <c r="Q36" s="21"/>
      <c r="R36" s="21"/>
      <c r="S36" s="21"/>
    </row>
    <row r="37" spans="1:19" x14ac:dyDescent="0.25">
      <c r="A37" s="21"/>
      <c r="B37" s="21"/>
      <c r="C37" s="21"/>
      <c r="D37" s="21"/>
      <c r="E37" s="21"/>
      <c r="F37" s="21"/>
      <c r="G37" s="21"/>
      <c r="H37" s="31" t="s">
        <v>11</v>
      </c>
      <c r="I37" s="31"/>
      <c r="J37" s="27">
        <f>+J36-J33</f>
        <v>2521.9300000000039</v>
      </c>
      <c r="K37" s="28">
        <f>+K36-K33</f>
        <v>0</v>
      </c>
      <c r="L37" s="28">
        <f>+L36-L33</f>
        <v>114.60000000000002</v>
      </c>
      <c r="M37" s="21"/>
      <c r="N37" s="21"/>
      <c r="O37" s="21"/>
      <c r="P37" s="21"/>
      <c r="Q37" s="21"/>
      <c r="R37" s="21"/>
      <c r="S37" s="21"/>
    </row>
    <row r="38" spans="1:19" x14ac:dyDescent="0.25">
      <c r="A38" s="21"/>
      <c r="B38" s="21"/>
      <c r="C38" s="21"/>
      <c r="D38" s="21"/>
      <c r="E38" s="21"/>
      <c r="F38" s="21"/>
      <c r="G38" s="21"/>
      <c r="H38" s="31" t="s">
        <v>12</v>
      </c>
      <c r="I38" s="31"/>
      <c r="J38" s="26">
        <v>-2436.31</v>
      </c>
      <c r="K38" s="25">
        <v>0</v>
      </c>
      <c r="L38" s="25">
        <f>-101.92+47.92</f>
        <v>-54</v>
      </c>
      <c r="M38" s="21"/>
      <c r="N38" s="21"/>
      <c r="O38" s="21"/>
      <c r="P38" s="21"/>
      <c r="Q38" s="21"/>
      <c r="R38" s="21"/>
      <c r="S38" s="21"/>
    </row>
    <row r="39" spans="1:19" x14ac:dyDescent="0.25">
      <c r="A39" s="21"/>
      <c r="B39" s="21"/>
      <c r="C39" s="21"/>
      <c r="D39" s="21"/>
      <c r="E39" s="21"/>
      <c r="F39" s="21"/>
      <c r="G39" s="21"/>
      <c r="H39" s="31" t="s">
        <v>13</v>
      </c>
      <c r="I39" s="31"/>
      <c r="J39" s="26">
        <v>-2648.59</v>
      </c>
      <c r="K39" s="25">
        <v>0</v>
      </c>
      <c r="L39" s="25">
        <v>-103.41</v>
      </c>
      <c r="M39" s="21"/>
      <c r="N39" s="21"/>
      <c r="O39" s="21"/>
      <c r="P39" s="21"/>
      <c r="Q39" s="21"/>
      <c r="R39" s="21"/>
      <c r="S39" s="21"/>
    </row>
    <row r="40" spans="1:19" x14ac:dyDescent="0.25">
      <c r="A40" s="21"/>
      <c r="B40" s="21"/>
      <c r="C40" s="21"/>
      <c r="D40" s="21"/>
      <c r="E40" s="21"/>
      <c r="F40" s="21"/>
      <c r="G40" s="21"/>
      <c r="H40" s="31" t="s">
        <v>14</v>
      </c>
      <c r="I40" s="31"/>
      <c r="J40" s="26">
        <v>-202.3</v>
      </c>
      <c r="K40" s="25">
        <v>0</v>
      </c>
      <c r="L40" s="25">
        <v>0</v>
      </c>
      <c r="M40" s="21"/>
      <c r="N40" s="21"/>
      <c r="O40" s="21"/>
      <c r="P40" s="21"/>
      <c r="Q40" s="21"/>
      <c r="R40" s="21"/>
      <c r="S40" s="21"/>
    </row>
    <row r="41" spans="1:19" ht="15.75" thickBot="1" x14ac:dyDescent="0.3">
      <c r="A41" s="21"/>
      <c r="B41" s="21"/>
      <c r="C41" s="21"/>
      <c r="D41" s="21"/>
      <c r="E41" s="21"/>
      <c r="F41" s="21"/>
      <c r="G41" s="21"/>
      <c r="H41" s="32" t="s">
        <v>15</v>
      </c>
      <c r="I41" s="32"/>
      <c r="J41" s="29">
        <f>+J36+J38+J39+J40</f>
        <v>9807.19</v>
      </c>
      <c r="K41" s="30">
        <f>+K36+K38+K39+K40</f>
        <v>0</v>
      </c>
      <c r="L41" s="30">
        <f>+L36+L38+L39+L40</f>
        <v>497.55000000000007</v>
      </c>
      <c r="M41" s="21"/>
      <c r="N41" s="21"/>
      <c r="O41" s="21"/>
      <c r="P41" s="21"/>
      <c r="Q41" s="21"/>
      <c r="R41" s="21"/>
      <c r="S41" s="2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2025-08-20T13:04:03Z</dcterms:created>
  <dcterms:modified xsi:type="dcterms:W3CDTF">2025-10-07T07:14:53Z</dcterms:modified>
</cp:coreProperties>
</file>