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antika Infotech\COGS\Sales\"/>
    </mc:Choice>
  </mc:AlternateContent>
  <xr:revisionPtr revIDLastSave="0" documentId="13_ncr:1_{156A8C11-9F71-4796-A578-FF2ECE5DFBDA}" xr6:coauthVersionLast="47" xr6:coauthVersionMax="47" xr10:uidLastSave="{00000000-0000-0000-0000-000000000000}"/>
  <bookViews>
    <workbookView xWindow="-120" yWindow="-120" windowWidth="20730" windowHeight="11040" xr2:uid="{E27C754F-F9D5-4A8A-825E-E065BA51B02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C33" i="1"/>
  <c r="D33" i="1"/>
  <c r="G33" i="1"/>
  <c r="G35" i="1" s="1"/>
  <c r="J33" i="1"/>
  <c r="J37" i="1" s="1"/>
  <c r="L33" i="1"/>
  <c r="L37" i="1" s="1"/>
  <c r="S14" i="1"/>
  <c r="H4" i="1"/>
  <c r="F2" i="1"/>
  <c r="A2" i="1"/>
  <c r="J41" i="1"/>
  <c r="K39" i="1"/>
  <c r="L38" i="1"/>
  <c r="L41" i="1" s="1"/>
  <c r="K36" i="1"/>
  <c r="K35" i="1"/>
  <c r="E35" i="1"/>
  <c r="D35" i="1"/>
  <c r="E34" i="1"/>
  <c r="D34" i="1"/>
  <c r="R33" i="1"/>
  <c r="P33" i="1"/>
  <c r="M33" i="1"/>
  <c r="M35" i="1" s="1"/>
  <c r="K33" i="1"/>
  <c r="K37" i="1" s="1"/>
  <c r="I33" i="1"/>
  <c r="E33" i="1"/>
  <c r="C35" i="1"/>
  <c r="B35" i="1"/>
  <c r="S32" i="1"/>
  <c r="N32" i="1"/>
  <c r="F32" i="1"/>
  <c r="O32" i="1" s="1"/>
  <c r="A32" i="1"/>
  <c r="S31" i="1"/>
  <c r="N31" i="1"/>
  <c r="F31" i="1"/>
  <c r="O31" i="1" s="1"/>
  <c r="A31" i="1"/>
  <c r="S30" i="1"/>
  <c r="N30" i="1"/>
  <c r="F30" i="1"/>
  <c r="O30" i="1" s="1"/>
  <c r="A30" i="1"/>
  <c r="S29" i="1"/>
  <c r="N29" i="1"/>
  <c r="F29" i="1"/>
  <c r="O29" i="1" s="1"/>
  <c r="A29" i="1"/>
  <c r="S28" i="1"/>
  <c r="N28" i="1"/>
  <c r="F28" i="1"/>
  <c r="O28" i="1" s="1"/>
  <c r="A28" i="1"/>
  <c r="S27" i="1"/>
  <c r="N27" i="1"/>
  <c r="F27" i="1"/>
  <c r="A27" i="1"/>
  <c r="S26" i="1"/>
  <c r="N26" i="1"/>
  <c r="F26" i="1"/>
  <c r="O26" i="1" s="1"/>
  <c r="A26" i="1"/>
  <c r="S25" i="1"/>
  <c r="N25" i="1"/>
  <c r="F25" i="1"/>
  <c r="O25" i="1" s="1"/>
  <c r="A25" i="1"/>
  <c r="S24" i="1"/>
  <c r="N24" i="1"/>
  <c r="F24" i="1"/>
  <c r="O24" i="1" s="1"/>
  <c r="A24" i="1"/>
  <c r="S23" i="1"/>
  <c r="N23" i="1"/>
  <c r="F23" i="1"/>
  <c r="O23" i="1" s="1"/>
  <c r="A23" i="1"/>
  <c r="S22" i="1"/>
  <c r="N22" i="1"/>
  <c r="O22" i="1" s="1"/>
  <c r="F22" i="1"/>
  <c r="A22" i="1"/>
  <c r="S21" i="1"/>
  <c r="N21" i="1"/>
  <c r="F21" i="1"/>
  <c r="O21" i="1" s="1"/>
  <c r="A21" i="1"/>
  <c r="S20" i="1"/>
  <c r="N20" i="1"/>
  <c r="F20" i="1"/>
  <c r="A20" i="1"/>
  <c r="S19" i="1"/>
  <c r="H19" i="1"/>
  <c r="N19" i="1" s="1"/>
  <c r="O19" i="1" s="1"/>
  <c r="F19" i="1"/>
  <c r="A19" i="1"/>
  <c r="S18" i="1"/>
  <c r="N18" i="1"/>
  <c r="F18" i="1"/>
  <c r="O18" i="1" s="1"/>
  <c r="A18" i="1"/>
  <c r="S17" i="1"/>
  <c r="H17" i="1"/>
  <c r="N17" i="1" s="1"/>
  <c r="F17" i="1"/>
  <c r="A17" i="1"/>
  <c r="S16" i="1"/>
  <c r="N16" i="1"/>
  <c r="F16" i="1"/>
  <c r="O16" i="1" s="1"/>
  <c r="A16" i="1"/>
  <c r="S15" i="1"/>
  <c r="H15" i="1"/>
  <c r="N15" i="1" s="1"/>
  <c r="F15" i="1"/>
  <c r="A15" i="1"/>
  <c r="H14" i="1"/>
  <c r="N14" i="1" s="1"/>
  <c r="F14" i="1"/>
  <c r="O14" i="1" s="1"/>
  <c r="A14" i="1"/>
  <c r="S13" i="1"/>
  <c r="H13" i="1"/>
  <c r="N13" i="1" s="1"/>
  <c r="F13" i="1"/>
  <c r="A13" i="1"/>
  <c r="S12" i="1"/>
  <c r="H12" i="1"/>
  <c r="N12" i="1" s="1"/>
  <c r="O12" i="1" s="1"/>
  <c r="F12" i="1"/>
  <c r="A12" i="1"/>
  <c r="S11" i="1"/>
  <c r="N11" i="1"/>
  <c r="F11" i="1"/>
  <c r="O11" i="1" s="1"/>
  <c r="A11" i="1"/>
  <c r="S10" i="1"/>
  <c r="N10" i="1"/>
  <c r="F10" i="1"/>
  <c r="O10" i="1" s="1"/>
  <c r="A10" i="1"/>
  <c r="S9" i="1"/>
  <c r="H9" i="1"/>
  <c r="N9" i="1" s="1"/>
  <c r="O9" i="1" s="1"/>
  <c r="F9" i="1"/>
  <c r="A9" i="1"/>
  <c r="S8" i="1"/>
  <c r="H8" i="1"/>
  <c r="N8" i="1" s="1"/>
  <c r="F8" i="1"/>
  <c r="O8" i="1" s="1"/>
  <c r="A8" i="1"/>
  <c r="S7" i="1"/>
  <c r="N7" i="1"/>
  <c r="F7" i="1"/>
  <c r="O7" i="1" s="1"/>
  <c r="A7" i="1"/>
  <c r="S6" i="1"/>
  <c r="H6" i="1"/>
  <c r="N6" i="1" s="1"/>
  <c r="O6" i="1" s="1"/>
  <c r="F6" i="1"/>
  <c r="A6" i="1"/>
  <c r="S5" i="1"/>
  <c r="N5" i="1"/>
  <c r="F5" i="1"/>
  <c r="O5" i="1" s="1"/>
  <c r="A5" i="1"/>
  <c r="S4" i="1"/>
  <c r="N4" i="1"/>
  <c r="F4" i="1"/>
  <c r="A4" i="1"/>
  <c r="S3" i="1"/>
  <c r="N3" i="1"/>
  <c r="F3" i="1"/>
  <c r="O3" i="1" s="1"/>
  <c r="A3" i="1"/>
  <c r="S2" i="1"/>
  <c r="H2" i="1"/>
  <c r="N2" i="1" s="1"/>
  <c r="A1" i="1"/>
  <c r="N33" i="1" l="1"/>
  <c r="J34" i="1"/>
  <c r="L35" i="1"/>
  <c r="H33" i="1"/>
  <c r="O20" i="1"/>
  <c r="K34" i="1"/>
  <c r="K41" i="1"/>
  <c r="J35" i="1"/>
  <c r="L34" i="1"/>
  <c r="O27" i="1"/>
  <c r="M34" i="1"/>
  <c r="S33" i="1"/>
  <c r="O17" i="1"/>
  <c r="O4" i="1"/>
  <c r="O13" i="1"/>
  <c r="O15" i="1"/>
  <c r="F33" i="1"/>
  <c r="G34" i="1"/>
  <c r="B34" i="1"/>
  <c r="C34" i="1"/>
  <c r="O2" i="1" l="1"/>
  <c r="O33" i="1" s="1"/>
</calcChain>
</file>

<file path=xl/sharedStrings.xml><?xml version="1.0" encoding="utf-8"?>
<sst xmlns="http://schemas.openxmlformats.org/spreadsheetml/2006/main" count="27" uniqueCount="27">
  <si>
    <t>LCE GATEWATE</t>
  </si>
  <si>
    <t>Amex</t>
  </si>
  <si>
    <t>Doordash</t>
  </si>
  <si>
    <t>Grubhub</t>
  </si>
  <si>
    <t>Total</t>
  </si>
  <si>
    <t>Difference</t>
  </si>
  <si>
    <t>Date</t>
  </si>
  <si>
    <t>Expense</t>
  </si>
  <si>
    <t>TOTAL</t>
  </si>
  <si>
    <t>QBD</t>
  </si>
  <si>
    <t>As per portal</t>
  </si>
  <si>
    <t>Diff</t>
  </si>
  <si>
    <t>Commisison</t>
  </si>
  <si>
    <t>Marketing / Merchant Fees</t>
  </si>
  <si>
    <t>Error Charges</t>
  </si>
  <si>
    <t>Net</t>
  </si>
  <si>
    <t>TaxableSale</t>
  </si>
  <si>
    <t>ExemptSale</t>
  </si>
  <si>
    <t>SalesTax</t>
  </si>
  <si>
    <t>DeliveryTip</t>
  </si>
  <si>
    <t>GrandTotal</t>
  </si>
  <si>
    <t>CashSales</t>
  </si>
  <si>
    <t>WordPay</t>
  </si>
  <si>
    <t>Ubereats</t>
  </si>
  <si>
    <t>GiftCard</t>
  </si>
  <si>
    <t>ActualCashPlusMinus</t>
  </si>
  <si>
    <t>DepositedCash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</si>
</sst>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33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7" fontId="1" fillId="2" borderId="1" xfId="0" applyNumberFormat="1" applyFont="1" applyFill="1" applyBorder="1" applyAlignment="1">
      <alignment horizontal="center" vertical="center" wrapText="1"/>
    </xf>
    <xf numFmtId="17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wrapText="1"/>
    </xf>
    <xf numFmtId="14" fontId="4" fillId="0" borderId="5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5" fontId="4" fillId="0" borderId="7" xfId="0" applyNumberFormat="1" applyFont="1" applyBorder="1" applyAlignment="1">
      <alignment horizontal="right"/>
    </xf>
    <xf numFmtId="164" fontId="4" fillId="3" borderId="7" xfId="0" applyNumberFormat="1" applyFont="1" applyFill="1" applyBorder="1" applyAlignment="1">
      <alignment horizontal="right"/>
    </xf>
    <xf numFmtId="165" fontId="4" fillId="3" borderId="8" xfId="0" applyNumberFormat="1" applyFont="1" applyFill="1" applyBorder="1" applyAlignment="1">
      <alignment horizontal="right"/>
    </xf>
    <xf numFmtId="14" fontId="4" fillId="0" borderId="9" xfId="0" applyNumberFormat="1" applyFont="1" applyBorder="1" applyAlignment="1">
      <alignment horizontal="right"/>
    </xf>
    <xf numFmtId="14" fontId="4" fillId="0" borderId="8" xfId="0" applyNumberFormat="1" applyFont="1" applyBorder="1" applyAlignment="1">
      <alignment horizontal="right"/>
    </xf>
    <xf numFmtId="165" fontId="5" fillId="3" borderId="8" xfId="0" applyNumberFormat="1" applyFont="1" applyFill="1" applyBorder="1" applyAlignment="1">
      <alignment horizontal="right"/>
    </xf>
    <xf numFmtId="165" fontId="4" fillId="0" borderId="10" xfId="0" applyNumberFormat="1" applyFont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14" fontId="4" fillId="0" borderId="6" xfId="0" applyNumberFormat="1" applyFont="1" applyBorder="1"/>
    <xf numFmtId="14" fontId="4" fillId="0" borderId="11" xfId="0" applyNumberFormat="1" applyFont="1" applyBorder="1" applyAlignment="1">
      <alignment horizontal="right"/>
    </xf>
    <xf numFmtId="165" fontId="4" fillId="0" borderId="12" xfId="0" applyNumberFormat="1" applyFont="1" applyBorder="1" applyAlignment="1">
      <alignment horizontal="right"/>
    </xf>
    <xf numFmtId="165" fontId="4" fillId="0" borderId="7" xfId="0" applyNumberFormat="1" applyFont="1" applyBorder="1" applyAlignment="1">
      <alignment horizontal="center"/>
    </xf>
    <xf numFmtId="14" fontId="4" fillId="0" borderId="7" xfId="0" applyNumberFormat="1" applyFont="1" applyBorder="1" applyAlignment="1">
      <alignment horizontal="right"/>
    </xf>
    <xf numFmtId="165" fontId="4" fillId="0" borderId="9" xfId="0" applyNumberFormat="1" applyFont="1" applyBorder="1" applyAlignment="1">
      <alignment horizontal="right"/>
    </xf>
    <xf numFmtId="165" fontId="4" fillId="0" borderId="6" xfId="0" applyNumberFormat="1" applyFont="1" applyBorder="1" applyAlignment="1">
      <alignment horizontal="right"/>
    </xf>
    <xf numFmtId="14" fontId="4" fillId="0" borderId="12" xfId="0" applyNumberFormat="1" applyFont="1" applyBorder="1" applyAlignment="1">
      <alignment horizontal="right"/>
    </xf>
    <xf numFmtId="0" fontId="0" fillId="0" borderId="6" xfId="0" applyBorder="1"/>
    <xf numFmtId="14" fontId="0" fillId="0" borderId="0" xfId="0" applyNumberFormat="1"/>
    <xf numFmtId="0" fontId="5" fillId="2" borderId="13" xfId="0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3" borderId="14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5" borderId="0" xfId="0" applyFont="1" applyFill="1" applyAlignment="1">
      <alignment horizontal="center"/>
    </xf>
    <xf numFmtId="16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5" fontId="0" fillId="6" borderId="16" xfId="0" applyNumberFormat="1" applyFill="1" applyBorder="1" applyAlignment="1">
      <alignment horizontal="center"/>
    </xf>
    <xf numFmtId="165" fontId="0" fillId="6" borderId="17" xfId="0" applyNumberForma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Figma\COGS\sales.xlsx" TargetMode="External"/><Relationship Id="rId1" Type="http://schemas.openxmlformats.org/officeDocument/2006/relationships/externalLinkPath" Target="/Figma/COGS/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C Variance"/>
      <sheetName val="Sheet1"/>
      <sheetName val="Overview"/>
      <sheetName val="Cash Sales"/>
      <sheetName val="Sheet2"/>
      <sheetName val="Cash Variance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All Store"/>
      <sheetName val="Bernard-PHILLY"/>
      <sheetName val="Rouchdi-ALBANY"/>
      <sheetName val="Purnima-NJ"/>
      <sheetName val="GAVINA-READING"/>
      <sheetName val="Christe-SYRACUSE"/>
      <sheetName val="Jasmit-LANCASTER"/>
      <sheetName val="Rashmi Patel-MD DELWARE"/>
    </sheetNames>
    <sheetDataSet>
      <sheetData sheetId="0"/>
      <sheetData sheetId="1"/>
      <sheetData sheetId="2"/>
      <sheetData sheetId="3"/>
      <sheetData sheetId="4"/>
      <sheetData sheetId="5">
        <row r="2">
          <cell r="A2">
            <v>45839</v>
          </cell>
        </row>
        <row r="3">
          <cell r="A3">
            <v>45839</v>
          </cell>
        </row>
        <row r="4">
          <cell r="A4">
            <v>45840</v>
          </cell>
        </row>
        <row r="5">
          <cell r="A5">
            <v>45841</v>
          </cell>
        </row>
        <row r="6">
          <cell r="A6">
            <v>45842</v>
          </cell>
        </row>
        <row r="7">
          <cell r="A7">
            <v>45843</v>
          </cell>
        </row>
        <row r="8">
          <cell r="A8">
            <v>45844</v>
          </cell>
        </row>
        <row r="9">
          <cell r="A9">
            <v>45845</v>
          </cell>
        </row>
        <row r="10">
          <cell r="A10">
            <v>45846</v>
          </cell>
        </row>
        <row r="11">
          <cell r="A11">
            <v>45847</v>
          </cell>
        </row>
        <row r="12">
          <cell r="A12">
            <v>45848</v>
          </cell>
        </row>
        <row r="13">
          <cell r="A13">
            <v>45849</v>
          </cell>
        </row>
        <row r="14">
          <cell r="A14">
            <v>45850</v>
          </cell>
        </row>
        <row r="15">
          <cell r="A15">
            <v>45851</v>
          </cell>
        </row>
        <row r="16">
          <cell r="A16">
            <v>45852</v>
          </cell>
        </row>
        <row r="17">
          <cell r="A17">
            <v>45853</v>
          </cell>
        </row>
        <row r="18">
          <cell r="A18">
            <v>45854</v>
          </cell>
        </row>
        <row r="19">
          <cell r="A19">
            <v>45855</v>
          </cell>
        </row>
        <row r="20">
          <cell r="A20">
            <v>45856</v>
          </cell>
        </row>
        <row r="21">
          <cell r="A21">
            <v>45857</v>
          </cell>
        </row>
        <row r="22">
          <cell r="A22">
            <v>45858</v>
          </cell>
        </row>
        <row r="23">
          <cell r="A23">
            <v>45859</v>
          </cell>
        </row>
        <row r="24">
          <cell r="A24">
            <v>45860</v>
          </cell>
        </row>
        <row r="25">
          <cell r="A25">
            <v>45861</v>
          </cell>
        </row>
        <row r="26">
          <cell r="A26">
            <v>45862</v>
          </cell>
        </row>
        <row r="27">
          <cell r="A27">
            <v>45863</v>
          </cell>
        </row>
        <row r="28">
          <cell r="A28">
            <v>45864</v>
          </cell>
        </row>
        <row r="29">
          <cell r="A29">
            <v>45865</v>
          </cell>
        </row>
        <row r="30">
          <cell r="A30">
            <v>45866</v>
          </cell>
        </row>
        <row r="31">
          <cell r="A31">
            <v>45867</v>
          </cell>
        </row>
        <row r="32">
          <cell r="A32">
            <v>45868</v>
          </cell>
        </row>
        <row r="33">
          <cell r="A33">
            <v>45869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7606-9308-48F9-A22C-F804598DF4E2}">
  <dimension ref="A1:S42"/>
  <sheetViews>
    <sheetView tabSelected="1" workbookViewId="0">
      <selection activeCell="P1" sqref="P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4" width="9.85546875" bestFit="1" customWidth="1"/>
    <col min="6" max="6" width="10.5703125" bestFit="1" customWidth="1"/>
    <col min="7" max="7" width="9.85546875" bestFit="1" customWidth="1"/>
    <col min="8" max="8" width="10.85546875" bestFit="1" customWidth="1"/>
    <col min="10" max="10" width="9.85546875" bestFit="1" customWidth="1"/>
    <col min="12" max="12" width="9.85546875" bestFit="1" customWidth="1"/>
    <col min="14" max="14" width="10.85546875" bestFit="1" customWidth="1"/>
    <col min="15" max="15" width="12.5703125" customWidth="1"/>
    <col min="16" max="16" width="14.28515625" customWidth="1"/>
    <col min="17" max="17" width="10.42578125" bestFit="1" customWidth="1"/>
    <col min="19" max="19" width="9.85546875" bestFit="1" customWidth="1"/>
  </cols>
  <sheetData>
    <row r="1" spans="1:19" ht="48" thickBot="1" x14ac:dyDescent="0.3">
      <c r="A1" s="1">
        <f>'[1]Cash Variance'!A2</f>
        <v>45839</v>
      </c>
      <c r="B1" s="2" t="s">
        <v>16</v>
      </c>
      <c r="C1" s="2" t="s">
        <v>17</v>
      </c>
      <c r="D1" s="3" t="s">
        <v>18</v>
      </c>
      <c r="E1" s="3" t="s">
        <v>19</v>
      </c>
      <c r="F1" s="4" t="s">
        <v>20</v>
      </c>
      <c r="G1" s="3" t="s">
        <v>21</v>
      </c>
      <c r="H1" s="3" t="s">
        <v>22</v>
      </c>
      <c r="I1" s="3" t="s">
        <v>1</v>
      </c>
      <c r="J1" s="5" t="s">
        <v>2</v>
      </c>
      <c r="K1" s="5" t="s">
        <v>3</v>
      </c>
      <c r="L1" s="5" t="s">
        <v>23</v>
      </c>
      <c r="M1" s="3" t="s">
        <v>24</v>
      </c>
      <c r="N1" s="6" t="s">
        <v>4</v>
      </c>
      <c r="O1" s="6" t="s">
        <v>5</v>
      </c>
      <c r="P1" s="3" t="s">
        <v>26</v>
      </c>
      <c r="Q1" s="3" t="s">
        <v>6</v>
      </c>
      <c r="R1" s="3" t="s">
        <v>7</v>
      </c>
      <c r="S1" s="6" t="s">
        <v>25</v>
      </c>
    </row>
    <row r="2" spans="1:19" x14ac:dyDescent="0.25">
      <c r="A2" s="7">
        <f>'[1]Cash Variance'!A3</f>
        <v>45839</v>
      </c>
      <c r="B2" s="8">
        <v>980.81</v>
      </c>
      <c r="C2" s="8">
        <v>17.04</v>
      </c>
      <c r="D2" s="9">
        <v>58.97</v>
      </c>
      <c r="E2" s="9">
        <v>31.7</v>
      </c>
      <c r="F2" s="10">
        <f>SUM(B2:E2)</f>
        <v>1088.52</v>
      </c>
      <c r="G2" s="9">
        <v>187.76</v>
      </c>
      <c r="H2" s="9">
        <f>888.21-2.5</f>
        <v>885.71</v>
      </c>
      <c r="I2" s="9">
        <v>0</v>
      </c>
      <c r="J2" s="9">
        <v>0</v>
      </c>
      <c r="K2" s="9">
        <v>0</v>
      </c>
      <c r="L2" s="9">
        <v>15.05</v>
      </c>
      <c r="M2" s="9">
        <v>0</v>
      </c>
      <c r="N2" s="11">
        <f>SUM(G2:M2)</f>
        <v>1088.52</v>
      </c>
      <c r="O2" s="11">
        <f t="shared" ref="O2:O32" si="0">+F2-N2</f>
        <v>0</v>
      </c>
      <c r="P2" s="9"/>
      <c r="Q2" s="12"/>
      <c r="R2" s="13"/>
      <c r="S2" s="14">
        <f>P2-G2-R2</f>
        <v>-187.76</v>
      </c>
    </row>
    <row r="3" spans="1:19" x14ac:dyDescent="0.25">
      <c r="A3" s="7">
        <f>'[1]Cash Variance'!A4</f>
        <v>45840</v>
      </c>
      <c r="B3" s="8">
        <v>837.26</v>
      </c>
      <c r="C3" s="8">
        <v>58.05</v>
      </c>
      <c r="D3" s="9">
        <v>50.32</v>
      </c>
      <c r="E3" s="9">
        <v>5.58</v>
      </c>
      <c r="F3" s="10">
        <f t="shared" ref="F3:F32" si="1">SUM(B3:E3)</f>
        <v>951.21</v>
      </c>
      <c r="G3" s="9">
        <v>154.57</v>
      </c>
      <c r="H3" s="9">
        <v>730.36</v>
      </c>
      <c r="I3" s="9">
        <v>12.71</v>
      </c>
      <c r="J3" s="9">
        <v>0</v>
      </c>
      <c r="K3" s="9">
        <v>31.63</v>
      </c>
      <c r="L3" s="9">
        <v>21.93</v>
      </c>
      <c r="M3" s="9">
        <v>0</v>
      </c>
      <c r="N3" s="11">
        <f t="shared" ref="N3:N32" si="2">SUM(G3:M3)</f>
        <v>951.2</v>
      </c>
      <c r="O3" s="11">
        <f t="shared" si="0"/>
        <v>9.9999999999909051E-3</v>
      </c>
      <c r="P3" s="15"/>
      <c r="Q3" s="12"/>
      <c r="R3" s="13"/>
      <c r="S3" s="14">
        <f t="shared" ref="S3:S32" si="3">P3-G3-R3</f>
        <v>-154.57</v>
      </c>
    </row>
    <row r="4" spans="1:19" x14ac:dyDescent="0.25">
      <c r="A4" s="7">
        <f>'[1]Cash Variance'!A5</f>
        <v>45841</v>
      </c>
      <c r="B4" s="8">
        <v>1244.42</v>
      </c>
      <c r="C4" s="8">
        <v>100.87</v>
      </c>
      <c r="D4" s="9">
        <v>74.81</v>
      </c>
      <c r="E4" s="9">
        <v>3.75</v>
      </c>
      <c r="F4" s="10">
        <f t="shared" si="1"/>
        <v>1423.85</v>
      </c>
      <c r="G4" s="9">
        <v>224.94</v>
      </c>
      <c r="H4" s="9">
        <f>1113.99-2.48</f>
        <v>1111.51</v>
      </c>
      <c r="I4" s="9">
        <v>0</v>
      </c>
      <c r="J4" s="9">
        <v>25.41</v>
      </c>
      <c r="K4" s="9">
        <v>0</v>
      </c>
      <c r="L4" s="9">
        <v>61.99</v>
      </c>
      <c r="M4" s="9">
        <v>0</v>
      </c>
      <c r="N4" s="11">
        <f t="shared" si="2"/>
        <v>1423.8500000000001</v>
      </c>
      <c r="O4" s="11">
        <f t="shared" si="0"/>
        <v>0</v>
      </c>
      <c r="P4" s="15"/>
      <c r="Q4" s="12"/>
      <c r="R4" s="13"/>
      <c r="S4" s="14">
        <f t="shared" si="3"/>
        <v>-224.94</v>
      </c>
    </row>
    <row r="5" spans="1:19" x14ac:dyDescent="0.25">
      <c r="A5" s="7">
        <f>'[1]Cash Variance'!A6</f>
        <v>45842</v>
      </c>
      <c r="B5" s="8">
        <v>685.4</v>
      </c>
      <c r="C5" s="8">
        <v>178.13</v>
      </c>
      <c r="D5" s="9">
        <v>41.22</v>
      </c>
      <c r="E5" s="9">
        <v>5</v>
      </c>
      <c r="F5" s="10">
        <f t="shared" si="1"/>
        <v>909.75</v>
      </c>
      <c r="G5" s="9">
        <v>139.47999999999999</v>
      </c>
      <c r="H5" s="9">
        <v>591.77</v>
      </c>
      <c r="I5" s="9">
        <v>2.86</v>
      </c>
      <c r="J5" s="9">
        <v>129.44999999999999</v>
      </c>
      <c r="K5" s="9">
        <v>35.21</v>
      </c>
      <c r="L5" s="9">
        <v>10.97</v>
      </c>
      <c r="M5" s="9">
        <v>0</v>
      </c>
      <c r="N5" s="11">
        <f t="shared" si="2"/>
        <v>909.74</v>
      </c>
      <c r="O5" s="11">
        <f t="shared" si="0"/>
        <v>9.9999999999909051E-3</v>
      </c>
      <c r="P5" s="15"/>
      <c r="Q5" s="12"/>
      <c r="R5" s="13"/>
      <c r="S5" s="14">
        <f t="shared" si="3"/>
        <v>-139.47999999999999</v>
      </c>
    </row>
    <row r="6" spans="1:19" x14ac:dyDescent="0.25">
      <c r="A6" s="7">
        <f>'[1]Cash Variance'!A7</f>
        <v>45843</v>
      </c>
      <c r="B6" s="8">
        <v>1179.1600000000001</v>
      </c>
      <c r="C6" s="8">
        <v>351.19</v>
      </c>
      <c r="D6" s="9">
        <v>70.92</v>
      </c>
      <c r="E6" s="9">
        <v>24.58</v>
      </c>
      <c r="F6" s="10">
        <f t="shared" si="1"/>
        <v>1625.8500000000001</v>
      </c>
      <c r="G6" s="9">
        <v>281.22000000000003</v>
      </c>
      <c r="H6" s="9">
        <f>997.91-4.98</f>
        <v>992.93</v>
      </c>
      <c r="I6" s="9">
        <v>0</v>
      </c>
      <c r="J6" s="9">
        <v>181.4</v>
      </c>
      <c r="K6" s="9">
        <v>20.3</v>
      </c>
      <c r="L6" s="9">
        <v>150</v>
      </c>
      <c r="M6" s="9">
        <v>0</v>
      </c>
      <c r="N6" s="11">
        <f t="shared" si="2"/>
        <v>1625.8500000000001</v>
      </c>
      <c r="O6" s="11">
        <f t="shared" si="0"/>
        <v>0</v>
      </c>
      <c r="P6" s="16"/>
      <c r="Q6" s="17"/>
      <c r="R6" s="13"/>
      <c r="S6" s="14">
        <f t="shared" si="3"/>
        <v>-281.22000000000003</v>
      </c>
    </row>
    <row r="7" spans="1:19" x14ac:dyDescent="0.25">
      <c r="A7" s="7">
        <f>'[1]Cash Variance'!A8</f>
        <v>45844</v>
      </c>
      <c r="B7" s="8">
        <v>1355.89</v>
      </c>
      <c r="C7" s="8">
        <v>248.94</v>
      </c>
      <c r="D7" s="9">
        <v>81.5</v>
      </c>
      <c r="E7" s="9">
        <v>26.17</v>
      </c>
      <c r="F7" s="10">
        <f t="shared" si="1"/>
        <v>1712.5000000000002</v>
      </c>
      <c r="G7" s="9">
        <v>304.94</v>
      </c>
      <c r="H7" s="9">
        <v>1127.28</v>
      </c>
      <c r="I7" s="9">
        <v>23.3</v>
      </c>
      <c r="J7" s="9">
        <v>169.7</v>
      </c>
      <c r="K7" s="9">
        <v>72.25</v>
      </c>
      <c r="L7" s="9">
        <v>0</v>
      </c>
      <c r="M7" s="9">
        <v>15</v>
      </c>
      <c r="N7" s="11">
        <f t="shared" si="2"/>
        <v>1712.47</v>
      </c>
      <c r="O7" s="11">
        <f t="shared" si="0"/>
        <v>3.0000000000200089E-2</v>
      </c>
      <c r="P7" s="16"/>
      <c r="Q7" s="17"/>
      <c r="R7" s="13"/>
      <c r="S7" s="14">
        <f t="shared" si="3"/>
        <v>-304.94</v>
      </c>
    </row>
    <row r="8" spans="1:19" x14ac:dyDescent="0.25">
      <c r="A8" s="7">
        <f>'[1]Cash Variance'!A9</f>
        <v>45845</v>
      </c>
      <c r="B8" s="8">
        <v>852.24</v>
      </c>
      <c r="C8" s="8">
        <v>231.83</v>
      </c>
      <c r="D8" s="9">
        <v>51.25</v>
      </c>
      <c r="E8" s="9">
        <v>6.37</v>
      </c>
      <c r="F8" s="10">
        <f t="shared" si="1"/>
        <v>1141.6899999999998</v>
      </c>
      <c r="G8" s="9">
        <v>207.32</v>
      </c>
      <c r="H8" s="9">
        <f>709.98-5.45</f>
        <v>704.53</v>
      </c>
      <c r="I8" s="9">
        <v>0</v>
      </c>
      <c r="J8" s="9">
        <v>127.33</v>
      </c>
      <c r="K8" s="9">
        <v>0</v>
      </c>
      <c r="L8" s="9">
        <v>102.51</v>
      </c>
      <c r="M8" s="9">
        <v>0</v>
      </c>
      <c r="N8" s="11">
        <f t="shared" si="2"/>
        <v>1141.6899999999998</v>
      </c>
      <c r="O8" s="11">
        <f t="shared" si="0"/>
        <v>0</v>
      </c>
      <c r="P8" s="9"/>
      <c r="Q8" s="18"/>
      <c r="R8" s="13"/>
      <c r="S8" s="14">
        <f t="shared" si="3"/>
        <v>-207.32</v>
      </c>
    </row>
    <row r="9" spans="1:19" x14ac:dyDescent="0.25">
      <c r="A9" s="7">
        <f>'[1]Cash Variance'!A10</f>
        <v>45846</v>
      </c>
      <c r="B9" s="8">
        <v>723.86</v>
      </c>
      <c r="C9" s="8">
        <v>269.14</v>
      </c>
      <c r="D9" s="19">
        <v>43.57</v>
      </c>
      <c r="E9" s="9">
        <v>8.2899999999999991</v>
      </c>
      <c r="F9" s="10">
        <f t="shared" si="1"/>
        <v>1044.8599999999999</v>
      </c>
      <c r="G9" s="9">
        <v>129.44999999999999</v>
      </c>
      <c r="H9" s="9">
        <f>653.26-2.5</f>
        <v>650.76</v>
      </c>
      <c r="I9" s="9">
        <v>0</v>
      </c>
      <c r="J9" s="9">
        <v>211.99</v>
      </c>
      <c r="K9" s="9">
        <v>0</v>
      </c>
      <c r="L9" s="9">
        <v>52.66</v>
      </c>
      <c r="M9" s="9">
        <v>0</v>
      </c>
      <c r="N9" s="11">
        <f t="shared" si="2"/>
        <v>1044.8600000000001</v>
      </c>
      <c r="O9" s="11">
        <f t="shared" si="0"/>
        <v>0</v>
      </c>
      <c r="P9" s="9"/>
      <c r="Q9" s="18"/>
      <c r="R9" s="13"/>
      <c r="S9" s="14">
        <f t="shared" si="3"/>
        <v>-129.44999999999999</v>
      </c>
    </row>
    <row r="10" spans="1:19" x14ac:dyDescent="0.25">
      <c r="A10" s="7">
        <f>'[1]Cash Variance'!A11</f>
        <v>45847</v>
      </c>
      <c r="B10" s="8">
        <v>1013.11</v>
      </c>
      <c r="C10" s="8">
        <v>103.94</v>
      </c>
      <c r="D10" s="19">
        <v>60.9</v>
      </c>
      <c r="E10" s="9">
        <v>9.42</v>
      </c>
      <c r="F10" s="10">
        <f t="shared" si="1"/>
        <v>1187.3700000000001</v>
      </c>
      <c r="G10" s="9">
        <v>120.54</v>
      </c>
      <c r="H10" s="9">
        <v>951.56</v>
      </c>
      <c r="I10" s="9">
        <v>13.76</v>
      </c>
      <c r="J10" s="9">
        <v>101.44</v>
      </c>
      <c r="K10" s="20">
        <v>0</v>
      </c>
      <c r="L10" s="9">
        <v>0</v>
      </c>
      <c r="M10" s="9">
        <v>0</v>
      </c>
      <c r="N10" s="11">
        <f t="shared" si="2"/>
        <v>1187.3</v>
      </c>
      <c r="O10" s="11">
        <f t="shared" si="0"/>
        <v>7.0000000000163709E-2</v>
      </c>
      <c r="P10" s="9"/>
      <c r="Q10" s="18"/>
      <c r="R10" s="13"/>
      <c r="S10" s="14">
        <f t="shared" si="3"/>
        <v>-120.54</v>
      </c>
    </row>
    <row r="11" spans="1:19" x14ac:dyDescent="0.25">
      <c r="A11" s="7">
        <f>'[1]Cash Variance'!A12</f>
        <v>45848</v>
      </c>
      <c r="B11" s="8">
        <v>936.65</v>
      </c>
      <c r="C11" s="8">
        <v>75.44</v>
      </c>
      <c r="D11" s="9">
        <v>56.29</v>
      </c>
      <c r="E11" s="9">
        <v>0</v>
      </c>
      <c r="F11" s="10">
        <f t="shared" si="1"/>
        <v>1068.3799999999999</v>
      </c>
      <c r="G11" s="9">
        <v>254.65</v>
      </c>
      <c r="H11" s="9">
        <v>721.34</v>
      </c>
      <c r="I11" s="9">
        <v>16.940000000000001</v>
      </c>
      <c r="J11" s="9">
        <v>75.44</v>
      </c>
      <c r="K11" s="9">
        <v>0</v>
      </c>
      <c r="L11" s="9">
        <v>0</v>
      </c>
      <c r="M11" s="9">
        <v>0</v>
      </c>
      <c r="N11" s="11">
        <f t="shared" si="2"/>
        <v>1068.3700000000001</v>
      </c>
      <c r="O11" s="11">
        <f t="shared" si="0"/>
        <v>9.9999999997635314E-3</v>
      </c>
      <c r="P11" s="9"/>
      <c r="Q11" s="18"/>
      <c r="R11" s="13"/>
      <c r="S11" s="14">
        <f t="shared" si="3"/>
        <v>-254.65</v>
      </c>
    </row>
    <row r="12" spans="1:19" x14ac:dyDescent="0.25">
      <c r="A12" s="7">
        <f>'[1]Cash Variance'!A13</f>
        <v>45849</v>
      </c>
      <c r="B12" s="8">
        <v>1570.46</v>
      </c>
      <c r="C12" s="8">
        <v>206.19</v>
      </c>
      <c r="D12" s="9">
        <v>94.38</v>
      </c>
      <c r="E12" s="9">
        <v>14.23</v>
      </c>
      <c r="F12" s="10">
        <f t="shared" si="1"/>
        <v>1885.2600000000002</v>
      </c>
      <c r="G12" s="9">
        <v>269.20999999999998</v>
      </c>
      <c r="H12" s="9">
        <f>1412.34-2.48</f>
        <v>1409.86</v>
      </c>
      <c r="I12" s="9">
        <v>0</v>
      </c>
      <c r="J12" s="9">
        <v>161.13</v>
      </c>
      <c r="K12" s="9">
        <v>22.09</v>
      </c>
      <c r="L12" s="9">
        <v>22.97</v>
      </c>
      <c r="M12" s="9">
        <v>0</v>
      </c>
      <c r="N12" s="11">
        <f t="shared" si="2"/>
        <v>1885.2599999999998</v>
      </c>
      <c r="O12" s="11">
        <f t="shared" si="0"/>
        <v>0</v>
      </c>
      <c r="P12" s="9"/>
      <c r="Q12" s="18"/>
      <c r="R12" s="13"/>
      <c r="S12" s="14">
        <f t="shared" si="3"/>
        <v>-269.20999999999998</v>
      </c>
    </row>
    <row r="13" spans="1:19" x14ac:dyDescent="0.25">
      <c r="A13" s="7">
        <f>'[1]Cash Variance'!A14</f>
        <v>45850</v>
      </c>
      <c r="B13" s="8">
        <v>1375.08</v>
      </c>
      <c r="C13" s="8">
        <v>237.9</v>
      </c>
      <c r="D13" s="9">
        <v>82.66</v>
      </c>
      <c r="E13" s="9">
        <v>6</v>
      </c>
      <c r="F13" s="10">
        <f t="shared" si="1"/>
        <v>1701.64</v>
      </c>
      <c r="G13" s="9">
        <v>262.29000000000002</v>
      </c>
      <c r="H13" s="9">
        <f>1178.71-4.96</f>
        <v>1173.75</v>
      </c>
      <c r="I13" s="9">
        <v>12.7</v>
      </c>
      <c r="J13" s="9">
        <v>208.41</v>
      </c>
      <c r="K13" s="9">
        <v>0</v>
      </c>
      <c r="L13" s="9">
        <v>29.49</v>
      </c>
      <c r="M13" s="9">
        <v>15</v>
      </c>
      <c r="N13" s="11">
        <f t="shared" si="2"/>
        <v>1701.64</v>
      </c>
      <c r="O13" s="11">
        <f t="shared" si="0"/>
        <v>0</v>
      </c>
      <c r="P13" s="9"/>
      <c r="Q13" s="21"/>
      <c r="R13" s="13"/>
      <c r="S13" s="14">
        <f t="shared" si="3"/>
        <v>-262.29000000000002</v>
      </c>
    </row>
    <row r="14" spans="1:19" x14ac:dyDescent="0.25">
      <c r="A14" s="7">
        <f>'[1]Cash Variance'!A15</f>
        <v>45851</v>
      </c>
      <c r="B14" s="8">
        <v>1107.6600000000001</v>
      </c>
      <c r="C14" s="8">
        <v>266.08999999999997</v>
      </c>
      <c r="D14" s="9">
        <v>66.56</v>
      </c>
      <c r="E14" s="9">
        <v>0</v>
      </c>
      <c r="F14" s="10">
        <f t="shared" si="1"/>
        <v>1440.31</v>
      </c>
      <c r="G14" s="9">
        <v>297.2</v>
      </c>
      <c r="H14" s="9">
        <f>829.34-6.37</f>
        <v>822.97</v>
      </c>
      <c r="I14" s="9">
        <v>56.66</v>
      </c>
      <c r="J14" s="9">
        <v>151.83000000000001</v>
      </c>
      <c r="K14" s="9">
        <v>0</v>
      </c>
      <c r="L14" s="9">
        <v>111.65</v>
      </c>
      <c r="M14" s="9">
        <v>0</v>
      </c>
      <c r="N14" s="11">
        <f t="shared" si="2"/>
        <v>1440.3100000000002</v>
      </c>
      <c r="O14" s="11">
        <f t="shared" si="0"/>
        <v>0</v>
      </c>
      <c r="P14" s="9">
        <v>2965</v>
      </c>
      <c r="Q14" s="21">
        <v>45856</v>
      </c>
      <c r="R14" s="13"/>
      <c r="S14" s="14">
        <f>P14-G14-R14</f>
        <v>2667.8</v>
      </c>
    </row>
    <row r="15" spans="1:19" x14ac:dyDescent="0.25">
      <c r="A15" s="7">
        <f>'[1]Cash Variance'!A16</f>
        <v>45852</v>
      </c>
      <c r="B15" s="8">
        <v>916.81</v>
      </c>
      <c r="C15" s="8">
        <v>230.1</v>
      </c>
      <c r="D15" s="9">
        <v>54.41</v>
      </c>
      <c r="E15" s="9">
        <v>10</v>
      </c>
      <c r="F15" s="10">
        <f t="shared" si="1"/>
        <v>1211.32</v>
      </c>
      <c r="G15" s="9">
        <v>236.89</v>
      </c>
      <c r="H15" s="9">
        <f>745.04-3.21</f>
        <v>741.82999999999993</v>
      </c>
      <c r="I15" s="9">
        <v>0</v>
      </c>
      <c r="J15" s="9">
        <v>144.68</v>
      </c>
      <c r="K15" s="9">
        <v>60.68</v>
      </c>
      <c r="L15" s="9">
        <v>27.24</v>
      </c>
      <c r="M15" s="9">
        <v>0</v>
      </c>
      <c r="N15" s="11">
        <f t="shared" si="2"/>
        <v>1211.32</v>
      </c>
      <c r="O15" s="11">
        <f t="shared" si="0"/>
        <v>0</v>
      </c>
      <c r="P15" s="9"/>
      <c r="Q15" s="21"/>
      <c r="R15" s="13"/>
      <c r="S15" s="14">
        <f t="shared" si="3"/>
        <v>-236.89</v>
      </c>
    </row>
    <row r="16" spans="1:19" x14ac:dyDescent="0.25">
      <c r="A16" s="7">
        <f>'[1]Cash Variance'!A17</f>
        <v>45853</v>
      </c>
      <c r="B16" s="8">
        <v>856.59</v>
      </c>
      <c r="C16" s="8">
        <v>119.1</v>
      </c>
      <c r="D16" s="9">
        <v>51.53</v>
      </c>
      <c r="E16" s="9">
        <v>12</v>
      </c>
      <c r="F16" s="10">
        <f t="shared" si="1"/>
        <v>1039.22</v>
      </c>
      <c r="G16" s="9">
        <v>265.04000000000002</v>
      </c>
      <c r="H16" s="9">
        <v>657.56</v>
      </c>
      <c r="I16" s="9">
        <v>0</v>
      </c>
      <c r="J16" s="9">
        <v>95.88</v>
      </c>
      <c r="K16" s="9">
        <v>0</v>
      </c>
      <c r="L16" s="9">
        <v>20.72</v>
      </c>
      <c r="M16" s="9">
        <v>0</v>
      </c>
      <c r="N16" s="11">
        <f t="shared" si="2"/>
        <v>1039.1999999999998</v>
      </c>
      <c r="O16" s="11">
        <f t="shared" si="0"/>
        <v>2.0000000000209184E-2</v>
      </c>
      <c r="P16" s="22"/>
      <c r="Q16" s="21"/>
      <c r="R16" s="13"/>
      <c r="S16" s="14">
        <f t="shared" si="3"/>
        <v>-265.04000000000002</v>
      </c>
    </row>
    <row r="17" spans="1:19" x14ac:dyDescent="0.25">
      <c r="A17" s="7">
        <f>'[1]Cash Variance'!A18</f>
        <v>45854</v>
      </c>
      <c r="B17" s="8">
        <v>838.26</v>
      </c>
      <c r="C17" s="8">
        <v>207.91</v>
      </c>
      <c r="D17" s="9">
        <v>50.4</v>
      </c>
      <c r="E17" s="9">
        <v>0</v>
      </c>
      <c r="F17" s="10">
        <f t="shared" si="1"/>
        <v>1096.5700000000002</v>
      </c>
      <c r="G17" s="9">
        <v>194.77</v>
      </c>
      <c r="H17" s="9">
        <f>693.89-2.5</f>
        <v>691.39</v>
      </c>
      <c r="I17" s="9">
        <v>0</v>
      </c>
      <c r="J17" s="9">
        <v>157.57</v>
      </c>
      <c r="K17" s="9">
        <v>0</v>
      </c>
      <c r="L17" s="9">
        <v>52.84</v>
      </c>
      <c r="M17" s="9">
        <v>0</v>
      </c>
      <c r="N17" s="11">
        <f t="shared" si="2"/>
        <v>1096.57</v>
      </c>
      <c r="O17" s="11">
        <f t="shared" si="0"/>
        <v>0</v>
      </c>
      <c r="P17" s="23"/>
      <c r="Q17" s="24"/>
      <c r="R17" s="13"/>
      <c r="S17" s="14">
        <f t="shared" si="3"/>
        <v>-194.77</v>
      </c>
    </row>
    <row r="18" spans="1:19" x14ac:dyDescent="0.25">
      <c r="A18" s="7">
        <f>'[1]Cash Variance'!A19</f>
        <v>45855</v>
      </c>
      <c r="B18" s="8">
        <v>748.46</v>
      </c>
      <c r="C18" s="8">
        <v>78.430000000000007</v>
      </c>
      <c r="D18" s="9">
        <v>45.01</v>
      </c>
      <c r="E18" s="9">
        <v>10.9</v>
      </c>
      <c r="F18" s="10">
        <f t="shared" si="1"/>
        <v>882.80000000000007</v>
      </c>
      <c r="G18" s="9">
        <v>82.15</v>
      </c>
      <c r="H18" s="9">
        <v>726.68</v>
      </c>
      <c r="I18" s="9">
        <v>0</v>
      </c>
      <c r="J18" s="9">
        <v>73.94</v>
      </c>
      <c r="K18" s="9">
        <v>0</v>
      </c>
      <c r="L18" s="9">
        <v>0</v>
      </c>
      <c r="M18" s="9">
        <v>0</v>
      </c>
      <c r="N18" s="11">
        <f t="shared" si="2"/>
        <v>882.77</v>
      </c>
      <c r="O18" s="11">
        <f t="shared" si="0"/>
        <v>3.0000000000086402E-2</v>
      </c>
      <c r="P18" s="23"/>
      <c r="Q18" s="24"/>
      <c r="R18" s="13"/>
      <c r="S18" s="14">
        <f t="shared" si="3"/>
        <v>-82.15</v>
      </c>
    </row>
    <row r="19" spans="1:19" x14ac:dyDescent="0.25">
      <c r="A19" s="7">
        <f>'[1]Cash Variance'!A20</f>
        <v>45856</v>
      </c>
      <c r="B19" s="8">
        <v>1322.14</v>
      </c>
      <c r="C19" s="8">
        <v>259.36</v>
      </c>
      <c r="D19" s="9">
        <v>79.459999999999994</v>
      </c>
      <c r="E19" s="9">
        <v>11.23</v>
      </c>
      <c r="F19" s="10">
        <f t="shared" si="1"/>
        <v>1672.19</v>
      </c>
      <c r="G19" s="9">
        <v>161.31</v>
      </c>
      <c r="H19" s="9">
        <f>1269.46-2.48</f>
        <v>1266.98</v>
      </c>
      <c r="I19" s="9">
        <v>0</v>
      </c>
      <c r="J19" s="9">
        <v>173.39</v>
      </c>
      <c r="K19" s="9">
        <v>0</v>
      </c>
      <c r="L19" s="9">
        <v>70.510000000000005</v>
      </c>
      <c r="M19" s="9">
        <v>0</v>
      </c>
      <c r="N19" s="11">
        <f t="shared" si="2"/>
        <v>1672.1899999999998</v>
      </c>
      <c r="O19" s="11">
        <f t="shared" si="0"/>
        <v>0</v>
      </c>
      <c r="P19" s="25">
        <v>895</v>
      </c>
      <c r="Q19" s="26">
        <v>45867</v>
      </c>
      <c r="R19" s="13"/>
      <c r="S19" s="14">
        <f t="shared" si="3"/>
        <v>733.69</v>
      </c>
    </row>
    <row r="20" spans="1:19" x14ac:dyDescent="0.25">
      <c r="A20" s="7">
        <f>'[1]Cash Variance'!A21</f>
        <v>45857</v>
      </c>
      <c r="B20" s="8">
        <v>1373.39</v>
      </c>
      <c r="C20" s="8">
        <v>206.25</v>
      </c>
      <c r="D20" s="9">
        <v>82.52</v>
      </c>
      <c r="E20" s="9">
        <v>3</v>
      </c>
      <c r="F20" s="10">
        <f t="shared" si="1"/>
        <v>1665.16</v>
      </c>
      <c r="G20" s="9">
        <v>230.02</v>
      </c>
      <c r="H20" s="9">
        <v>1237.8499999999999</v>
      </c>
      <c r="I20" s="9">
        <v>0</v>
      </c>
      <c r="J20" s="9">
        <v>154.18</v>
      </c>
      <c r="K20" s="9">
        <v>0</v>
      </c>
      <c r="L20" s="9">
        <v>43.09</v>
      </c>
      <c r="M20" s="9">
        <v>0</v>
      </c>
      <c r="N20" s="11">
        <f t="shared" si="2"/>
        <v>1665.1399999999999</v>
      </c>
      <c r="O20" s="11">
        <f t="shared" si="0"/>
        <v>2.0000000000209184E-2</v>
      </c>
      <c r="P20" s="25">
        <v>220</v>
      </c>
      <c r="Q20" s="26">
        <v>45867</v>
      </c>
      <c r="R20" s="13"/>
      <c r="S20" s="14">
        <f t="shared" si="3"/>
        <v>-10.02000000000001</v>
      </c>
    </row>
    <row r="21" spans="1:19" x14ac:dyDescent="0.25">
      <c r="A21" s="7">
        <f>'[1]Cash Variance'!A22</f>
        <v>45858</v>
      </c>
      <c r="B21" s="8">
        <v>1331.43</v>
      </c>
      <c r="C21" s="8">
        <v>273.08</v>
      </c>
      <c r="D21" s="9">
        <v>80.02</v>
      </c>
      <c r="E21" s="9">
        <v>5.18</v>
      </c>
      <c r="F21" s="10">
        <f t="shared" si="1"/>
        <v>1689.71</v>
      </c>
      <c r="G21" s="9">
        <v>215.66</v>
      </c>
      <c r="H21" s="9">
        <v>1162.55</v>
      </c>
      <c r="I21" s="9">
        <v>42.88</v>
      </c>
      <c r="J21" s="9">
        <v>127.46</v>
      </c>
      <c r="K21" s="9">
        <v>52.32</v>
      </c>
      <c r="L21" s="9">
        <v>88.81</v>
      </c>
      <c r="M21" s="9">
        <v>0</v>
      </c>
      <c r="N21" s="11">
        <f t="shared" si="2"/>
        <v>1689.68</v>
      </c>
      <c r="O21" s="11">
        <f t="shared" si="0"/>
        <v>2.9999999999972715E-2</v>
      </c>
      <c r="P21" s="25">
        <v>215</v>
      </c>
      <c r="Q21" s="26">
        <v>45867</v>
      </c>
      <c r="R21" s="13"/>
      <c r="S21" s="14">
        <f t="shared" si="3"/>
        <v>-0.65999999999999659</v>
      </c>
    </row>
    <row r="22" spans="1:19" x14ac:dyDescent="0.25">
      <c r="A22" s="7">
        <f>'[1]Cash Variance'!A23</f>
        <v>45859</v>
      </c>
      <c r="B22" s="8">
        <v>784.33</v>
      </c>
      <c r="C22" s="8">
        <v>257.52999999999997</v>
      </c>
      <c r="D22" s="9">
        <v>47.18</v>
      </c>
      <c r="E22" s="9">
        <v>3</v>
      </c>
      <c r="F22" s="10">
        <f t="shared" si="1"/>
        <v>1092.0400000000002</v>
      </c>
      <c r="G22" s="9">
        <v>185.07</v>
      </c>
      <c r="H22" s="9">
        <v>654.44000000000005</v>
      </c>
      <c r="I22" s="9">
        <v>0</v>
      </c>
      <c r="J22" s="9">
        <v>183.46</v>
      </c>
      <c r="K22" s="9">
        <v>69.069999999999993</v>
      </c>
      <c r="L22" s="9">
        <v>0</v>
      </c>
      <c r="M22" s="9">
        <v>0</v>
      </c>
      <c r="N22" s="11">
        <f t="shared" si="2"/>
        <v>1092.04</v>
      </c>
      <c r="O22" s="11">
        <f t="shared" si="0"/>
        <v>0</v>
      </c>
      <c r="P22" s="25">
        <v>180</v>
      </c>
      <c r="Q22" s="26">
        <v>45867</v>
      </c>
      <c r="R22" s="13"/>
      <c r="S22" s="14">
        <f t="shared" si="3"/>
        <v>-5.0699999999999932</v>
      </c>
    </row>
    <row r="23" spans="1:19" x14ac:dyDescent="0.25">
      <c r="A23" s="7">
        <f>'[1]Cash Variance'!A24</f>
        <v>45860</v>
      </c>
      <c r="B23" s="8">
        <v>694.23</v>
      </c>
      <c r="C23" s="8">
        <v>94.72</v>
      </c>
      <c r="D23" s="9">
        <v>41.76</v>
      </c>
      <c r="E23" s="9">
        <v>0</v>
      </c>
      <c r="F23" s="10">
        <f t="shared" si="1"/>
        <v>830.71</v>
      </c>
      <c r="G23" s="9">
        <v>137.66</v>
      </c>
      <c r="H23" s="9">
        <v>571.84</v>
      </c>
      <c r="I23" s="9">
        <v>35.47</v>
      </c>
      <c r="J23" s="9">
        <v>66.66</v>
      </c>
      <c r="K23" s="9">
        <v>19.079999999999998</v>
      </c>
      <c r="L23" s="9">
        <v>0</v>
      </c>
      <c r="M23" s="9">
        <v>0</v>
      </c>
      <c r="N23" s="11">
        <f t="shared" si="2"/>
        <v>830.71</v>
      </c>
      <c r="O23" s="11">
        <f t="shared" si="0"/>
        <v>0</v>
      </c>
      <c r="P23" s="25">
        <v>140</v>
      </c>
      <c r="Q23" s="26">
        <v>45867</v>
      </c>
      <c r="R23" s="13"/>
      <c r="S23" s="14">
        <f t="shared" si="3"/>
        <v>2.3400000000000034</v>
      </c>
    </row>
    <row r="24" spans="1:19" x14ac:dyDescent="0.25">
      <c r="A24" s="7">
        <f>'[1]Cash Variance'!A25</f>
        <v>45861</v>
      </c>
      <c r="B24" s="8">
        <v>920.1</v>
      </c>
      <c r="C24" s="8">
        <v>122.62</v>
      </c>
      <c r="D24" s="9">
        <v>55.34</v>
      </c>
      <c r="E24" s="9">
        <v>0</v>
      </c>
      <c r="F24" s="10">
        <f t="shared" si="1"/>
        <v>1098.06</v>
      </c>
      <c r="G24" s="9">
        <v>258.33999999999997</v>
      </c>
      <c r="H24" s="9">
        <v>721.59</v>
      </c>
      <c r="I24" s="9">
        <v>0</v>
      </c>
      <c r="J24" s="9">
        <v>118.13</v>
      </c>
      <c r="K24" s="9">
        <v>0</v>
      </c>
      <c r="L24" s="9">
        <v>0</v>
      </c>
      <c r="M24" s="9">
        <v>0</v>
      </c>
      <c r="N24" s="11">
        <f t="shared" si="2"/>
        <v>1098.06</v>
      </c>
      <c r="O24" s="11">
        <f t="shared" si="0"/>
        <v>0</v>
      </c>
      <c r="P24" s="23">
        <v>170</v>
      </c>
      <c r="Q24" s="24">
        <v>45867</v>
      </c>
      <c r="R24" s="13"/>
      <c r="S24" s="14">
        <f t="shared" si="3"/>
        <v>-88.339999999999975</v>
      </c>
    </row>
    <row r="25" spans="1:19" x14ac:dyDescent="0.25">
      <c r="A25" s="7">
        <f>'[1]Cash Variance'!A26</f>
        <v>45862</v>
      </c>
      <c r="B25" s="8">
        <v>934.07</v>
      </c>
      <c r="C25" s="8">
        <v>293.36</v>
      </c>
      <c r="D25" s="9">
        <v>56.17</v>
      </c>
      <c r="E25" s="9">
        <v>0.5</v>
      </c>
      <c r="F25" s="10">
        <f t="shared" si="1"/>
        <v>1284.1000000000001</v>
      </c>
      <c r="G25" s="9">
        <v>154.81</v>
      </c>
      <c r="H25" s="9">
        <v>816.05</v>
      </c>
      <c r="I25" s="9">
        <v>24.36</v>
      </c>
      <c r="J25" s="9">
        <v>186.67</v>
      </c>
      <c r="K25" s="9">
        <v>65.64</v>
      </c>
      <c r="L25" s="9">
        <v>36.56</v>
      </c>
      <c r="M25" s="9">
        <v>0</v>
      </c>
      <c r="N25" s="11">
        <f t="shared" si="2"/>
        <v>1284.0899999999999</v>
      </c>
      <c r="O25" s="11">
        <f t="shared" si="0"/>
        <v>1.0000000000218279E-2</v>
      </c>
      <c r="P25" s="23">
        <v>90</v>
      </c>
      <c r="Q25" s="24">
        <v>45867</v>
      </c>
      <c r="R25" s="13"/>
      <c r="S25" s="14">
        <f t="shared" si="3"/>
        <v>-64.81</v>
      </c>
    </row>
    <row r="26" spans="1:19" x14ac:dyDescent="0.25">
      <c r="A26" s="7">
        <f>'[1]Cash Variance'!A27</f>
        <v>45863</v>
      </c>
      <c r="B26" s="9">
        <v>1311.67</v>
      </c>
      <c r="C26" s="9">
        <v>187.32</v>
      </c>
      <c r="D26" s="9">
        <v>78.84</v>
      </c>
      <c r="E26" s="9">
        <v>12.11</v>
      </c>
      <c r="F26" s="10">
        <f t="shared" si="1"/>
        <v>1589.9399999999998</v>
      </c>
      <c r="G26" s="9">
        <v>150.63</v>
      </c>
      <c r="H26" s="9">
        <v>1246.53</v>
      </c>
      <c r="I26" s="9">
        <v>16.940000000000001</v>
      </c>
      <c r="J26" s="9">
        <v>175.84</v>
      </c>
      <c r="K26" s="9">
        <v>0</v>
      </c>
      <c r="L26" s="9">
        <v>0</v>
      </c>
      <c r="M26" s="9">
        <v>0</v>
      </c>
      <c r="N26" s="11">
        <f t="shared" si="2"/>
        <v>1589.9399999999998</v>
      </c>
      <c r="O26" s="11">
        <f t="shared" si="0"/>
        <v>0</v>
      </c>
      <c r="P26" s="23"/>
      <c r="Q26" s="24"/>
      <c r="R26" s="13"/>
      <c r="S26" s="14">
        <f t="shared" si="3"/>
        <v>-150.63</v>
      </c>
    </row>
    <row r="27" spans="1:19" x14ac:dyDescent="0.25">
      <c r="A27" s="7">
        <f>'[1]Cash Variance'!A28</f>
        <v>45864</v>
      </c>
      <c r="B27" s="8">
        <v>1347.21</v>
      </c>
      <c r="C27" s="8">
        <v>427.61</v>
      </c>
      <c r="D27" s="9">
        <v>80.97</v>
      </c>
      <c r="E27" s="9">
        <v>8.36</v>
      </c>
      <c r="F27" s="10">
        <f t="shared" si="1"/>
        <v>1864.15</v>
      </c>
      <c r="G27" s="9">
        <v>165.22</v>
      </c>
      <c r="H27" s="9">
        <v>1197.5</v>
      </c>
      <c r="I27" s="9">
        <v>62.15</v>
      </c>
      <c r="J27" s="9">
        <v>363.94</v>
      </c>
      <c r="K27" s="9">
        <v>0</v>
      </c>
      <c r="L27" s="9">
        <v>63.67</v>
      </c>
      <c r="M27" s="9">
        <v>11.65</v>
      </c>
      <c r="N27" s="11">
        <f t="shared" si="2"/>
        <v>1864.1300000000003</v>
      </c>
      <c r="O27" s="11">
        <f t="shared" si="0"/>
        <v>1.9999999999754436E-2</v>
      </c>
      <c r="P27" s="23"/>
      <c r="Q27" s="24"/>
      <c r="R27" s="13"/>
      <c r="S27" s="14">
        <f t="shared" si="3"/>
        <v>-165.22</v>
      </c>
    </row>
    <row r="28" spans="1:19" x14ac:dyDescent="0.25">
      <c r="A28" s="7">
        <f>'[1]Cash Variance'!A29</f>
        <v>45865</v>
      </c>
      <c r="B28" s="8">
        <v>944.18</v>
      </c>
      <c r="C28" s="8">
        <v>253.22</v>
      </c>
      <c r="D28" s="9">
        <v>56.74</v>
      </c>
      <c r="E28" s="9">
        <v>7.7</v>
      </c>
      <c r="F28" s="10">
        <f t="shared" si="1"/>
        <v>1261.8399999999999</v>
      </c>
      <c r="G28" s="9">
        <v>168.04</v>
      </c>
      <c r="H28" s="9">
        <v>845.04</v>
      </c>
      <c r="I28" s="9">
        <v>9</v>
      </c>
      <c r="J28" s="9">
        <v>183.69</v>
      </c>
      <c r="K28" s="9">
        <v>0</v>
      </c>
      <c r="L28" s="9">
        <v>56.06</v>
      </c>
      <c r="M28" s="9">
        <v>0</v>
      </c>
      <c r="N28" s="11">
        <f t="shared" si="2"/>
        <v>1261.83</v>
      </c>
      <c r="O28" s="11">
        <f t="shared" si="0"/>
        <v>9.9999999999909051E-3</v>
      </c>
      <c r="P28" s="23"/>
      <c r="Q28" s="24"/>
      <c r="R28" s="13"/>
      <c r="S28" s="14">
        <f t="shared" si="3"/>
        <v>-168.04</v>
      </c>
    </row>
    <row r="29" spans="1:19" x14ac:dyDescent="0.25">
      <c r="A29" s="7">
        <f>'[1]Cash Variance'!A30</f>
        <v>45866</v>
      </c>
      <c r="B29" s="8">
        <v>904.78</v>
      </c>
      <c r="C29" s="8">
        <v>223.55</v>
      </c>
      <c r="D29" s="9">
        <v>54.39</v>
      </c>
      <c r="E29" s="9">
        <v>8.4</v>
      </c>
      <c r="F29" s="10">
        <f t="shared" si="1"/>
        <v>1191.1200000000001</v>
      </c>
      <c r="G29" s="9">
        <v>258.88</v>
      </c>
      <c r="H29" s="9">
        <v>712.54</v>
      </c>
      <c r="I29" s="9">
        <v>0</v>
      </c>
      <c r="J29" s="9">
        <v>136.88</v>
      </c>
      <c r="K29" s="9">
        <v>35.81</v>
      </c>
      <c r="L29" s="9">
        <v>47.01</v>
      </c>
      <c r="M29" s="9">
        <v>0</v>
      </c>
      <c r="N29" s="11">
        <f t="shared" si="2"/>
        <v>1191.1199999999999</v>
      </c>
      <c r="O29" s="11">
        <f t="shared" si="0"/>
        <v>0</v>
      </c>
      <c r="P29" s="25">
        <v>260</v>
      </c>
      <c r="Q29" s="26">
        <v>45873</v>
      </c>
      <c r="R29" s="13"/>
      <c r="S29" s="14">
        <f t="shared" si="3"/>
        <v>1.1200000000000045</v>
      </c>
    </row>
    <row r="30" spans="1:19" x14ac:dyDescent="0.25">
      <c r="A30" s="7">
        <f>'[1]Cash Variance'!A31</f>
        <v>45867</v>
      </c>
      <c r="B30" s="8">
        <v>846.05</v>
      </c>
      <c r="C30" s="8">
        <v>146.47999999999999</v>
      </c>
      <c r="D30" s="9">
        <v>50.84</v>
      </c>
      <c r="E30" s="9">
        <v>4.8099999999999996</v>
      </c>
      <c r="F30" s="10">
        <f t="shared" si="1"/>
        <v>1048.1799999999998</v>
      </c>
      <c r="G30" s="9">
        <v>152.53</v>
      </c>
      <c r="H30" s="9">
        <v>728.87</v>
      </c>
      <c r="I30" s="9">
        <v>31.78</v>
      </c>
      <c r="J30" s="9">
        <v>112.45</v>
      </c>
      <c r="K30" s="9">
        <v>0</v>
      </c>
      <c r="L30" s="9">
        <v>22.55</v>
      </c>
      <c r="M30" s="9">
        <v>0</v>
      </c>
      <c r="N30" s="11">
        <f t="shared" si="2"/>
        <v>1048.1799999999998</v>
      </c>
      <c r="O30" s="11">
        <f t="shared" si="0"/>
        <v>0</v>
      </c>
      <c r="P30" s="25">
        <v>150</v>
      </c>
      <c r="Q30" s="26">
        <v>45873</v>
      </c>
      <c r="R30" s="13"/>
      <c r="S30" s="14">
        <f t="shared" si="3"/>
        <v>-2.5300000000000011</v>
      </c>
    </row>
    <row r="31" spans="1:19" x14ac:dyDescent="0.25">
      <c r="A31" s="7">
        <f>'[1]Cash Variance'!A32</f>
        <v>45868</v>
      </c>
      <c r="B31" s="8">
        <v>920.82</v>
      </c>
      <c r="C31" s="8">
        <v>132.79</v>
      </c>
      <c r="D31" s="9">
        <v>55.38</v>
      </c>
      <c r="E31" s="9">
        <v>2.75</v>
      </c>
      <c r="F31" s="10">
        <f t="shared" si="1"/>
        <v>1111.7400000000002</v>
      </c>
      <c r="G31" s="9">
        <v>208.29</v>
      </c>
      <c r="H31" s="9">
        <v>764.92</v>
      </c>
      <c r="I31" s="9">
        <v>12.71</v>
      </c>
      <c r="J31" s="9">
        <v>85.48</v>
      </c>
      <c r="K31" s="9">
        <v>21.5</v>
      </c>
      <c r="L31" s="9">
        <v>20.82</v>
      </c>
      <c r="M31" s="9">
        <v>0</v>
      </c>
      <c r="N31" s="11">
        <f t="shared" si="2"/>
        <v>1113.7199999999998</v>
      </c>
      <c r="O31" s="11">
        <f t="shared" si="0"/>
        <v>-1.9799999999995634</v>
      </c>
      <c r="P31" s="25">
        <v>210</v>
      </c>
      <c r="Q31" s="26">
        <v>45873</v>
      </c>
      <c r="R31" s="13"/>
      <c r="S31" s="14">
        <f t="shared" si="3"/>
        <v>1.710000000000008</v>
      </c>
    </row>
    <row r="32" spans="1:19" ht="15.75" thickBot="1" x14ac:dyDescent="0.3">
      <c r="A32" s="7">
        <f>'[1]Cash Variance'!A33</f>
        <v>45869</v>
      </c>
      <c r="B32" s="8">
        <v>889.73</v>
      </c>
      <c r="C32" s="8">
        <v>66.8</v>
      </c>
      <c r="D32" s="9">
        <v>53.52</v>
      </c>
      <c r="E32" s="9">
        <v>19.09</v>
      </c>
      <c r="F32" s="10">
        <f t="shared" si="1"/>
        <v>1029.1399999999999</v>
      </c>
      <c r="G32" s="9">
        <v>99.94</v>
      </c>
      <c r="H32" s="9">
        <v>862.39</v>
      </c>
      <c r="I32" s="9">
        <v>0</v>
      </c>
      <c r="J32" s="9">
        <v>56.44</v>
      </c>
      <c r="K32" s="9">
        <v>0</v>
      </c>
      <c r="L32" s="9">
        <v>10.36</v>
      </c>
      <c r="M32" s="9">
        <v>0</v>
      </c>
      <c r="N32" s="11">
        <f t="shared" si="2"/>
        <v>1029.1299999999999</v>
      </c>
      <c r="O32" s="11">
        <f t="shared" si="0"/>
        <v>9.9999999999909051E-3</v>
      </c>
      <c r="P32" s="25">
        <v>100</v>
      </c>
      <c r="Q32" s="26">
        <v>45873</v>
      </c>
      <c r="R32" s="13"/>
      <c r="S32" s="14">
        <f t="shared" si="3"/>
        <v>6.0000000000002274E-2</v>
      </c>
    </row>
    <row r="33" spans="1:19" ht="15.75" thickBot="1" x14ac:dyDescent="0.3">
      <c r="A33" s="27" t="s">
        <v>8</v>
      </c>
      <c r="B33" s="28">
        <f t="shared" ref="B33:H33" si="4">SUM(B2:B32)</f>
        <v>31746.249999999993</v>
      </c>
      <c r="C33" s="29">
        <f t="shared" si="4"/>
        <v>5924.98</v>
      </c>
      <c r="D33" s="29">
        <f t="shared" si="4"/>
        <v>1907.83</v>
      </c>
      <c r="E33" s="29">
        <f t="shared" si="4"/>
        <v>260.12</v>
      </c>
      <c r="F33" s="30">
        <f t="shared" si="4"/>
        <v>39839.179999999993</v>
      </c>
      <c r="G33" s="29">
        <f t="shared" si="4"/>
        <v>6158.82</v>
      </c>
      <c r="H33" s="29">
        <f t="shared" si="4"/>
        <v>27480.879999999994</v>
      </c>
      <c r="I33" s="29">
        <f t="shared" ref="I33:M33" si="5">SUM(I2:I32)</f>
        <v>374.21999999999997</v>
      </c>
      <c r="J33" s="29">
        <f>SUM(J2:J32)</f>
        <v>4140.2700000000004</v>
      </c>
      <c r="K33" s="29">
        <f t="shared" si="5"/>
        <v>505.58</v>
      </c>
      <c r="L33" s="29">
        <f>SUM(L2:L32)</f>
        <v>1139.4599999999998</v>
      </c>
      <c r="M33" s="29">
        <f t="shared" si="5"/>
        <v>41.65</v>
      </c>
      <c r="N33" s="30">
        <f>SUM(N2:N32)</f>
        <v>39840.880000000005</v>
      </c>
      <c r="O33" s="30">
        <f t="shared" ref="O33:R33" si="6">SUM(O2:O32)</f>
        <v>-1.6999999999990223</v>
      </c>
      <c r="P33" s="29">
        <f t="shared" si="6"/>
        <v>5595</v>
      </c>
      <c r="Q33" s="29"/>
      <c r="R33" s="29">
        <f t="shared" si="6"/>
        <v>0</v>
      </c>
      <c r="S33" s="30">
        <f>SUM(S2:S32)</f>
        <v>-563.81999999999948</v>
      </c>
    </row>
    <row r="34" spans="1:19" x14ac:dyDescent="0.25">
      <c r="A34" s="31" t="s">
        <v>0</v>
      </c>
      <c r="B34" s="32">
        <f>+B33</f>
        <v>31746.249999999993</v>
      </c>
      <c r="C34" s="33">
        <f>+C33</f>
        <v>5924.98</v>
      </c>
      <c r="D34" s="33">
        <f>+D33</f>
        <v>1907.83</v>
      </c>
      <c r="E34" s="33">
        <f>+E33</f>
        <v>260.12</v>
      </c>
      <c r="F34" s="31"/>
      <c r="G34" s="33">
        <f>+G33</f>
        <v>6158.82</v>
      </c>
      <c r="H34" s="31"/>
      <c r="I34" s="31"/>
      <c r="J34" s="33">
        <f>+J33</f>
        <v>4140.2700000000004</v>
      </c>
      <c r="K34" s="33">
        <f>+K33</f>
        <v>505.58</v>
      </c>
      <c r="L34" s="33">
        <f>+L33</f>
        <v>1139.4599999999998</v>
      </c>
      <c r="M34" s="33">
        <f>+M33</f>
        <v>41.65</v>
      </c>
      <c r="N34" s="31"/>
      <c r="O34" s="31"/>
      <c r="P34" s="34"/>
      <c r="Q34" s="35"/>
      <c r="R34" s="31"/>
      <c r="S34" s="31"/>
    </row>
    <row r="35" spans="1:19" x14ac:dyDescent="0.25">
      <c r="A35" s="36" t="s">
        <v>9</v>
      </c>
      <c r="B35" s="37">
        <f>+B33</f>
        <v>31746.249999999993</v>
      </c>
      <c r="C35" s="38">
        <f>+C33</f>
        <v>5924.98</v>
      </c>
      <c r="D35" s="38">
        <f>+D33</f>
        <v>1907.83</v>
      </c>
      <c r="E35" s="38">
        <f>+E33</f>
        <v>260.12</v>
      </c>
      <c r="F35" s="36"/>
      <c r="G35" s="38">
        <f>+G33</f>
        <v>6158.82</v>
      </c>
      <c r="H35" s="36"/>
      <c r="I35" s="36"/>
      <c r="J35" s="38">
        <f>+J33</f>
        <v>4140.2700000000004</v>
      </c>
      <c r="K35" s="38">
        <f>+K33</f>
        <v>505.58</v>
      </c>
      <c r="L35" s="38">
        <f>+L33</f>
        <v>1139.4599999999998</v>
      </c>
      <c r="M35" s="38">
        <f>+M33</f>
        <v>41.65</v>
      </c>
      <c r="N35" s="36"/>
      <c r="O35" s="36"/>
      <c r="P35" s="36"/>
      <c r="Q35" s="36"/>
      <c r="R35" s="36"/>
      <c r="S35" s="36"/>
    </row>
    <row r="36" spans="1:19" x14ac:dyDescent="0.25">
      <c r="A36" s="36"/>
      <c r="B36" s="36"/>
      <c r="C36" s="36"/>
      <c r="D36" s="36"/>
      <c r="E36" s="36"/>
      <c r="F36" s="36"/>
      <c r="G36" s="36"/>
      <c r="H36" s="45" t="s">
        <v>10</v>
      </c>
      <c r="I36" s="45"/>
      <c r="J36" s="40">
        <v>4884.76</v>
      </c>
      <c r="K36" s="39">
        <f>545.9-19.61-29.21</f>
        <v>497.08</v>
      </c>
      <c r="L36" s="39">
        <v>1338.68</v>
      </c>
      <c r="M36" s="36"/>
      <c r="N36" s="36"/>
      <c r="O36" s="36"/>
      <c r="P36" s="36"/>
      <c r="Q36" s="36"/>
      <c r="R36" s="36"/>
      <c r="S36" s="9"/>
    </row>
    <row r="37" spans="1:19" x14ac:dyDescent="0.25">
      <c r="A37" s="36"/>
      <c r="B37" s="36"/>
      <c r="C37" s="36"/>
      <c r="D37" s="36"/>
      <c r="E37" s="36"/>
      <c r="F37" s="36"/>
      <c r="G37" s="36"/>
      <c r="H37" s="45" t="s">
        <v>11</v>
      </c>
      <c r="I37" s="45"/>
      <c r="J37" s="41">
        <f>+J36-J33</f>
        <v>744.48999999999978</v>
      </c>
      <c r="K37" s="42">
        <f>+K36-K33</f>
        <v>-8.5</v>
      </c>
      <c r="L37" s="42">
        <f>+L36-L33</f>
        <v>199.22000000000025</v>
      </c>
      <c r="M37" s="36"/>
      <c r="N37" s="36"/>
      <c r="O37" s="36"/>
      <c r="P37" s="36"/>
      <c r="Q37" s="36"/>
      <c r="R37" s="36"/>
      <c r="S37" s="36"/>
    </row>
    <row r="38" spans="1:19" x14ac:dyDescent="0.25">
      <c r="A38" s="36"/>
      <c r="B38" s="36"/>
      <c r="C38" s="36"/>
      <c r="D38" s="36"/>
      <c r="E38" s="36"/>
      <c r="F38" s="36"/>
      <c r="G38" s="36"/>
      <c r="H38" s="45" t="s">
        <v>12</v>
      </c>
      <c r="I38" s="45"/>
      <c r="J38" s="40">
        <v>-852.05</v>
      </c>
      <c r="K38" s="39">
        <v>-49.71</v>
      </c>
      <c r="L38" s="39">
        <f>-244.43+29.67</f>
        <v>-214.76</v>
      </c>
      <c r="M38" s="36"/>
      <c r="N38" s="36"/>
      <c r="O38" s="36"/>
      <c r="P38" s="36"/>
      <c r="Q38" s="36"/>
      <c r="R38" s="36"/>
      <c r="S38" s="36"/>
    </row>
    <row r="39" spans="1:19" x14ac:dyDescent="0.25">
      <c r="A39" s="36"/>
      <c r="B39" s="36"/>
      <c r="C39" s="36"/>
      <c r="D39" s="36"/>
      <c r="E39" s="36"/>
      <c r="F39" s="36"/>
      <c r="G39" s="36"/>
      <c r="H39" s="45" t="s">
        <v>13</v>
      </c>
      <c r="I39" s="45"/>
      <c r="J39" s="40">
        <v>-859.32</v>
      </c>
      <c r="K39" s="39">
        <f>-46.27-10</f>
        <v>-56.27</v>
      </c>
      <c r="L39" s="39">
        <v>-181.36</v>
      </c>
      <c r="M39" s="36"/>
      <c r="N39" s="36"/>
      <c r="O39" s="36"/>
      <c r="P39" s="36"/>
      <c r="Q39" s="36"/>
      <c r="R39" s="36"/>
      <c r="S39" s="36"/>
    </row>
    <row r="40" spans="1:19" x14ac:dyDescent="0.25">
      <c r="A40" s="36"/>
      <c r="B40" s="36"/>
      <c r="C40" s="36"/>
      <c r="D40" s="36"/>
      <c r="E40" s="36"/>
      <c r="F40" s="36"/>
      <c r="G40" s="36"/>
      <c r="H40" s="45" t="s">
        <v>14</v>
      </c>
      <c r="I40" s="45"/>
      <c r="J40" s="40">
        <v>-47.41</v>
      </c>
      <c r="K40" s="39">
        <v>0</v>
      </c>
      <c r="L40" s="39">
        <v>0</v>
      </c>
      <c r="M40" s="36"/>
      <c r="N40" s="36"/>
      <c r="O40" s="36"/>
      <c r="P40" s="36"/>
      <c r="Q40" s="36"/>
      <c r="R40" s="36"/>
      <c r="S40" s="36"/>
    </row>
    <row r="41" spans="1:19" ht="15.75" thickBot="1" x14ac:dyDescent="0.3">
      <c r="A41" s="36"/>
      <c r="B41" s="36"/>
      <c r="C41" s="36"/>
      <c r="D41" s="36"/>
      <c r="E41" s="36"/>
      <c r="F41" s="36"/>
      <c r="G41" s="36"/>
      <c r="H41" s="46" t="s">
        <v>15</v>
      </c>
      <c r="I41" s="46"/>
      <c r="J41" s="43">
        <f>+J36+J38+J39+J40</f>
        <v>3125.98</v>
      </c>
      <c r="K41" s="44">
        <f>+K36+K38+K39+K40</f>
        <v>391.1</v>
      </c>
      <c r="L41" s="44">
        <f>+L36+L38+L39+L40</f>
        <v>942.56000000000006</v>
      </c>
      <c r="M41" s="36"/>
      <c r="N41" s="36"/>
      <c r="O41" s="36"/>
      <c r="P41" s="36"/>
      <c r="Q41" s="36"/>
      <c r="R41" s="36"/>
      <c r="S41" s="36"/>
    </row>
    <row r="42" spans="1:19" ht="15.75" thickTop="1" x14ac:dyDescent="0.25"/>
  </sheetData>
  <mergeCells count="6">
    <mergeCell ref="H39:I39"/>
    <mergeCell ref="H40:I40"/>
    <mergeCell ref="H41:I41"/>
    <mergeCell ref="H36:I36"/>
    <mergeCell ref="H37:I37"/>
    <mergeCell ref="H38:I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 THAKOR</dc:creator>
  <cp:lastModifiedBy>HEER THAKOR</cp:lastModifiedBy>
  <dcterms:created xsi:type="dcterms:W3CDTF">2025-08-20T12:47:30Z</dcterms:created>
  <dcterms:modified xsi:type="dcterms:W3CDTF">2025-10-07T07:13:49Z</dcterms:modified>
</cp:coreProperties>
</file>