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6E826131-BE9F-42AF-A3AA-FB1C6DD3DBBA}" xr6:coauthVersionLast="47" xr6:coauthVersionMax="47" xr10:uidLastSave="{00000000-0000-0000-0000-000000000000}"/>
  <bookViews>
    <workbookView xWindow="-120" yWindow="-120" windowWidth="20730" windowHeight="11040" xr2:uid="{F14C4B76-C0D7-4253-BC64-95289EDDF2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J33" i="1"/>
  <c r="J37" i="1" s="1"/>
  <c r="A32" i="1"/>
  <c r="J41" i="1"/>
  <c r="K39" i="1"/>
  <c r="L38" i="1"/>
  <c r="L36" i="1"/>
  <c r="L37" i="1" s="1"/>
  <c r="K36" i="1"/>
  <c r="L35" i="1"/>
  <c r="J34" i="1"/>
  <c r="M33" i="1"/>
  <c r="M35" i="1" s="1"/>
  <c r="L34" i="1"/>
  <c r="K33" i="1"/>
  <c r="K35" i="1" s="1"/>
  <c r="I33" i="1"/>
  <c r="G33" i="1"/>
  <c r="G34" i="1" s="1"/>
  <c r="E33" i="1"/>
  <c r="E34" i="1" s="1"/>
  <c r="D33" i="1"/>
  <c r="D34" i="1" s="1"/>
  <c r="C33" i="1"/>
  <c r="C34" i="1" s="1"/>
  <c r="B33" i="1"/>
  <c r="B35" i="1" s="1"/>
  <c r="S32" i="1"/>
  <c r="H32" i="1"/>
  <c r="N32" i="1" s="1"/>
  <c r="F32" i="1"/>
  <c r="S31" i="1"/>
  <c r="H31" i="1"/>
  <c r="N31" i="1" s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A26" i="1"/>
  <c r="S25" i="1"/>
  <c r="N25" i="1"/>
  <c r="F25" i="1"/>
  <c r="O25" i="1" s="1"/>
  <c r="A25" i="1"/>
  <c r="S24" i="1"/>
  <c r="H24" i="1"/>
  <c r="N24" i="1" s="1"/>
  <c r="F24" i="1"/>
  <c r="A24" i="1"/>
  <c r="S23" i="1"/>
  <c r="N23" i="1"/>
  <c r="F23" i="1"/>
  <c r="O23" i="1" s="1"/>
  <c r="A23" i="1"/>
  <c r="S22" i="1"/>
  <c r="O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S17" i="1"/>
  <c r="H17" i="1"/>
  <c r="N17" i="1" s="1"/>
  <c r="F17" i="1"/>
  <c r="A17" i="1"/>
  <c r="R16" i="1"/>
  <c r="R33" i="1" s="1"/>
  <c r="H16" i="1"/>
  <c r="N16" i="1" s="1"/>
  <c r="F16" i="1"/>
  <c r="O16" i="1" s="1"/>
  <c r="A16" i="1"/>
  <c r="S15" i="1"/>
  <c r="H15" i="1"/>
  <c r="N15" i="1" s="1"/>
  <c r="O15" i="1" s="1"/>
  <c r="F15" i="1"/>
  <c r="A15" i="1"/>
  <c r="S14" i="1"/>
  <c r="H14" i="1"/>
  <c r="N14" i="1" s="1"/>
  <c r="F14" i="1"/>
  <c r="A14" i="1"/>
  <c r="S13" i="1"/>
  <c r="H13" i="1"/>
  <c r="N13" i="1" s="1"/>
  <c r="F13" i="1"/>
  <c r="O13" i="1" s="1"/>
  <c r="A13" i="1"/>
  <c r="S12" i="1"/>
  <c r="H12" i="1"/>
  <c r="N12" i="1" s="1"/>
  <c r="F12" i="1"/>
  <c r="O12" i="1" s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F7" i="1"/>
  <c r="O7" i="1" s="1"/>
  <c r="A7" i="1"/>
  <c r="S6" i="1"/>
  <c r="H6" i="1"/>
  <c r="N6" i="1" s="1"/>
  <c r="F6" i="1"/>
  <c r="A6" i="1"/>
  <c r="S5" i="1"/>
  <c r="N5" i="1"/>
  <c r="F5" i="1"/>
  <c r="O5" i="1" s="1"/>
  <c r="A5" i="1"/>
  <c r="S4" i="1"/>
  <c r="N4" i="1"/>
  <c r="F4" i="1"/>
  <c r="A4" i="1"/>
  <c r="S3" i="1"/>
  <c r="H3" i="1"/>
  <c r="N3" i="1" s="1"/>
  <c r="F3" i="1"/>
  <c r="A3" i="1"/>
  <c r="S2" i="1"/>
  <c r="H2" i="1"/>
  <c r="N2" i="1" s="1"/>
  <c r="F2" i="1"/>
  <c r="A2" i="1"/>
  <c r="F33" i="1" l="1"/>
  <c r="O2" i="1"/>
  <c r="O4" i="1"/>
  <c r="O8" i="1"/>
  <c r="G35" i="1"/>
  <c r="K41" i="1"/>
  <c r="O11" i="1"/>
  <c r="O26" i="1"/>
  <c r="O28" i="1"/>
  <c r="J35" i="1"/>
  <c r="N33" i="1"/>
  <c r="O3" i="1"/>
  <c r="O33" i="1" s="1"/>
  <c r="B34" i="1"/>
  <c r="H33" i="1"/>
  <c r="O18" i="1"/>
  <c r="O14" i="1"/>
  <c r="M34" i="1"/>
  <c r="O6" i="1"/>
  <c r="S16" i="1"/>
  <c r="S33" i="1" s="1"/>
  <c r="O24" i="1"/>
  <c r="O32" i="1"/>
  <c r="O10" i="1"/>
  <c r="O30" i="1"/>
  <c r="C35" i="1"/>
  <c r="O17" i="1"/>
  <c r="D35" i="1"/>
  <c r="E35" i="1"/>
  <c r="K37" i="1"/>
  <c r="L41" i="1"/>
  <c r="K34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<sst xmlns="http://schemas.openxmlformats.org/spreadsheetml/2006/main" count="27" uniqueCount="27">
  <si>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</si>
  <si>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</si>
  <si>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</si>
  <si>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</si>
  <si>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</si>
  <si>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</si>
  <si>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</si>
  <si>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</si>
  <si>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</si>
  <si>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</si>
  <si>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</si>
  <si>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</si>
  <si>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</si>
  <si>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</si>
  <si>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</si>
  <si>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</si>
  <si>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ActualCashPlusMinus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</si>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</sst>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center"/>
    </xf>
    <xf numFmtId="165" fontId="4" fillId="3" borderId="6" xfId="0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4" fontId="5" fillId="3" borderId="8" xfId="0" applyNumberFormat="1" applyFont="1" applyFill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5" borderId="6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0" fontId="5" fillId="2" borderId="13" xfId="0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right"/>
    </xf>
    <xf numFmtId="164" fontId="5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6" borderId="16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FF38-1F3A-4109-95F4-D50EF0E695CB}">
  <dimension ref="A1:S42"/>
  <sheetViews>
    <sheetView tabSelected="1" workbookViewId="0"/>
  </sheetViews>
  <sheetFormatPr defaultRowHeight="15" x14ac:dyDescent="0.25"/>
  <cols>
    <col min="1" max="1" width="10.42578125" bestFit="1" customWidth="1"/>
    <col min="3" max="3" width="10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39">
        <v>2025</v>
      </c>
      <c r="B1" s="1" t="s">
        <v>17</v>
      </c>
      <c r="C1" s="1" t="s">
        <v>18</v>
      </c>
      <c r="D1" s="2" t="s">
        <v>19</v>
      </c>
      <c r="E1" s="2" t="s">
        <v>20</v>
      </c>
      <c r="F1" s="3" t="s">
        <v>21</v>
      </c>
      <c r="G1" s="2" t="s">
        <v>22</v>
      </c>
      <c r="H1" s="2" t="s">
        <v>23</v>
      </c>
      <c r="I1" s="2" t="s">
        <v>1</v>
      </c>
      <c r="J1" s="4" t="s">
        <v>2</v>
      </c>
      <c r="K1" s="4" t="s">
        <v>3</v>
      </c>
      <c r="L1" s="4" t="s">
        <v>24</v>
      </c>
      <c r="M1" s="2" t="s">
        <v>25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16</v>
      </c>
    </row>
    <row r="2" spans="1:19" x14ac:dyDescent="0.25">
      <c r="A2" s="6">
        <f>'[1]Cash Variance'!A3</f>
        <v>45839</v>
      </c>
      <c r="B2" s="7">
        <v>0</v>
      </c>
      <c r="C2" s="8">
        <v>1406.45</v>
      </c>
      <c r="D2" s="7">
        <v>0</v>
      </c>
      <c r="E2" s="7">
        <v>22.56</v>
      </c>
      <c r="F2" s="9">
        <f>SUM(B2:E2)</f>
        <v>1429.01</v>
      </c>
      <c r="G2" s="7">
        <v>91.57</v>
      </c>
      <c r="H2" s="7">
        <f>939.44-3.67</f>
        <v>935.7700000000001</v>
      </c>
      <c r="I2" s="7">
        <v>0</v>
      </c>
      <c r="J2" s="7">
        <v>315.02</v>
      </c>
      <c r="K2" s="7">
        <v>47.74</v>
      </c>
      <c r="L2" s="7">
        <v>38.909999999999997</v>
      </c>
      <c r="M2" s="7">
        <v>0</v>
      </c>
      <c r="N2" s="10">
        <f t="shared" ref="N2:N32" si="0">SUM(G2:M2)</f>
        <v>1429.0100000000002</v>
      </c>
      <c r="O2" s="10">
        <f t="shared" ref="O2:O31" si="1">+F2-N2</f>
        <v>0</v>
      </c>
      <c r="P2" s="7"/>
      <c r="Q2" s="11"/>
      <c r="R2" s="12"/>
      <c r="S2" s="13">
        <f>+(P2+R2)-G2</f>
        <v>-91.57</v>
      </c>
    </row>
    <row r="3" spans="1:19" x14ac:dyDescent="0.25">
      <c r="A3" s="6">
        <f>'[1]Cash Variance'!A4</f>
        <v>45840</v>
      </c>
      <c r="B3" s="7">
        <v>0</v>
      </c>
      <c r="C3" s="8">
        <v>1545.17</v>
      </c>
      <c r="D3" s="7">
        <v>0</v>
      </c>
      <c r="E3" s="7">
        <v>10.4</v>
      </c>
      <c r="F3" s="9">
        <f t="shared" ref="F3:F32" si="2">SUM(B3:E3)</f>
        <v>1555.5700000000002</v>
      </c>
      <c r="G3" s="7">
        <v>107.36</v>
      </c>
      <c r="H3" s="7">
        <f>641.6-11.5</f>
        <v>630.1</v>
      </c>
      <c r="I3" s="7">
        <v>0</v>
      </c>
      <c r="J3" s="7">
        <v>648.24</v>
      </c>
      <c r="K3" s="7">
        <v>37.01</v>
      </c>
      <c r="L3" s="7">
        <v>132.86000000000001</v>
      </c>
      <c r="M3" s="7">
        <v>0</v>
      </c>
      <c r="N3" s="10">
        <f t="shared" si="0"/>
        <v>1555.5700000000002</v>
      </c>
      <c r="O3" s="10">
        <f t="shared" si="1"/>
        <v>0</v>
      </c>
      <c r="P3" s="7">
        <v>105</v>
      </c>
      <c r="Q3" s="11">
        <v>45847</v>
      </c>
      <c r="R3" s="12"/>
      <c r="S3" s="13">
        <f t="shared" ref="S3:S32" si="3">+(P3+R3)-G3</f>
        <v>-2.3599999999999994</v>
      </c>
    </row>
    <row r="4" spans="1:19" x14ac:dyDescent="0.25">
      <c r="A4" s="6">
        <f>'[1]Cash Variance'!A5</f>
        <v>45841</v>
      </c>
      <c r="B4" s="7">
        <v>0</v>
      </c>
      <c r="C4" s="8">
        <v>1885.12</v>
      </c>
      <c r="D4" s="7">
        <v>0</v>
      </c>
      <c r="E4" s="7">
        <v>42.07</v>
      </c>
      <c r="F4" s="9">
        <f t="shared" si="2"/>
        <v>1927.1899999999998</v>
      </c>
      <c r="G4" s="7">
        <v>102.05</v>
      </c>
      <c r="H4" s="7">
        <v>882.88</v>
      </c>
      <c r="I4" s="7">
        <v>65.64</v>
      </c>
      <c r="J4" s="7">
        <v>787.82</v>
      </c>
      <c r="K4" s="7">
        <v>0</v>
      </c>
      <c r="L4" s="7">
        <v>88.8</v>
      </c>
      <c r="M4" s="7">
        <v>0</v>
      </c>
      <c r="N4" s="10">
        <f t="shared" si="0"/>
        <v>1927.1899999999998</v>
      </c>
      <c r="O4" s="10">
        <f t="shared" si="1"/>
        <v>0</v>
      </c>
      <c r="P4" s="7">
        <v>100</v>
      </c>
      <c r="Q4" s="11">
        <v>45847</v>
      </c>
      <c r="R4" s="12"/>
      <c r="S4" s="13">
        <f t="shared" si="3"/>
        <v>-2.0499999999999972</v>
      </c>
    </row>
    <row r="5" spans="1:19" x14ac:dyDescent="0.25">
      <c r="A5" s="6">
        <f>'[1]Cash Variance'!A6</f>
        <v>45842</v>
      </c>
      <c r="B5" s="7">
        <v>0</v>
      </c>
      <c r="C5" s="8">
        <v>142.38</v>
      </c>
      <c r="D5" s="7">
        <v>0</v>
      </c>
      <c r="E5" s="7">
        <v>0</v>
      </c>
      <c r="F5" s="9">
        <f t="shared" si="2"/>
        <v>142.38</v>
      </c>
      <c r="G5" s="7">
        <v>14.99</v>
      </c>
      <c r="H5" s="7">
        <v>57.11</v>
      </c>
      <c r="I5" s="7">
        <v>0</v>
      </c>
      <c r="J5" s="7">
        <v>70.28</v>
      </c>
      <c r="K5" s="7">
        <v>0</v>
      </c>
      <c r="L5" s="7">
        <v>0</v>
      </c>
      <c r="M5" s="7">
        <v>0</v>
      </c>
      <c r="N5" s="10">
        <f t="shared" si="0"/>
        <v>142.38</v>
      </c>
      <c r="O5" s="10">
        <f t="shared" si="1"/>
        <v>0</v>
      </c>
      <c r="P5" s="7">
        <v>15</v>
      </c>
      <c r="Q5" s="11">
        <v>45847</v>
      </c>
      <c r="R5" s="12"/>
      <c r="S5" s="13">
        <f t="shared" si="3"/>
        <v>9.9999999999997868E-3</v>
      </c>
    </row>
    <row r="6" spans="1:19" x14ac:dyDescent="0.25">
      <c r="A6" s="6">
        <f>'[1]Cash Variance'!A7</f>
        <v>45843</v>
      </c>
      <c r="B6" s="7">
        <v>0</v>
      </c>
      <c r="C6" s="8">
        <v>2095.94</v>
      </c>
      <c r="D6" s="7">
        <v>0</v>
      </c>
      <c r="E6" s="7">
        <v>19.21</v>
      </c>
      <c r="F6" s="9">
        <f t="shared" si="2"/>
        <v>2115.15</v>
      </c>
      <c r="G6" s="7">
        <v>268.93</v>
      </c>
      <c r="H6" s="7">
        <f>971.05-2.5</f>
        <v>968.55</v>
      </c>
      <c r="I6" s="7">
        <v>0</v>
      </c>
      <c r="J6" s="7">
        <v>710.66</v>
      </c>
      <c r="K6" s="7">
        <v>54.34</v>
      </c>
      <c r="L6" s="7">
        <v>112.67</v>
      </c>
      <c r="M6" s="7">
        <v>0</v>
      </c>
      <c r="N6" s="10">
        <f t="shared" si="0"/>
        <v>2115.1499999999996</v>
      </c>
      <c r="O6" s="10">
        <f t="shared" si="1"/>
        <v>0</v>
      </c>
      <c r="P6" s="7">
        <v>265</v>
      </c>
      <c r="Q6" s="11">
        <v>45847</v>
      </c>
      <c r="R6" s="12"/>
      <c r="S6" s="13">
        <f t="shared" si="3"/>
        <v>-3.9300000000000068</v>
      </c>
    </row>
    <row r="7" spans="1:19" x14ac:dyDescent="0.25">
      <c r="A7" s="6">
        <f>'[1]Cash Variance'!A8</f>
        <v>45844</v>
      </c>
      <c r="B7" s="7">
        <v>0</v>
      </c>
      <c r="C7" s="8">
        <v>2034.26</v>
      </c>
      <c r="D7" s="7">
        <v>0</v>
      </c>
      <c r="E7" s="7">
        <v>29.72</v>
      </c>
      <c r="F7" s="9">
        <f t="shared" si="2"/>
        <v>2063.98</v>
      </c>
      <c r="G7" s="7">
        <v>242.41</v>
      </c>
      <c r="H7" s="7">
        <f>783.72-9.99</f>
        <v>773.73</v>
      </c>
      <c r="I7" s="7">
        <v>0</v>
      </c>
      <c r="J7" s="7">
        <v>918.18</v>
      </c>
      <c r="K7" s="7">
        <v>22.91</v>
      </c>
      <c r="L7" s="7">
        <v>106.75</v>
      </c>
      <c r="M7" s="7">
        <v>0</v>
      </c>
      <c r="N7" s="10">
        <f t="shared" si="0"/>
        <v>2063.98</v>
      </c>
      <c r="O7" s="10">
        <f t="shared" si="1"/>
        <v>0</v>
      </c>
      <c r="P7" s="7">
        <v>240</v>
      </c>
      <c r="Q7" s="11">
        <v>45847</v>
      </c>
      <c r="R7" s="12"/>
      <c r="S7" s="13">
        <f t="shared" si="3"/>
        <v>-2.4099999999999966</v>
      </c>
    </row>
    <row r="8" spans="1:19" x14ac:dyDescent="0.25">
      <c r="A8" s="6">
        <f>'[1]Cash Variance'!A9</f>
        <v>45845</v>
      </c>
      <c r="B8" s="7">
        <v>0</v>
      </c>
      <c r="C8" s="8">
        <v>1221.6099999999999</v>
      </c>
      <c r="D8" s="7">
        <v>0</v>
      </c>
      <c r="E8" s="7">
        <v>12.66</v>
      </c>
      <c r="F8" s="9">
        <f t="shared" si="2"/>
        <v>1234.27</v>
      </c>
      <c r="G8" s="7">
        <v>115.76</v>
      </c>
      <c r="H8" s="7">
        <f>611.33-2.48</f>
        <v>608.85</v>
      </c>
      <c r="I8" s="7">
        <v>0</v>
      </c>
      <c r="J8" s="7">
        <v>405.78</v>
      </c>
      <c r="K8" s="7">
        <v>9.5500000000000007</v>
      </c>
      <c r="L8" s="7">
        <v>94.33</v>
      </c>
      <c r="M8" s="7">
        <v>0</v>
      </c>
      <c r="N8" s="10">
        <f t="shared" si="0"/>
        <v>1234.2699999999998</v>
      </c>
      <c r="O8" s="10">
        <f t="shared" si="1"/>
        <v>0</v>
      </c>
      <c r="P8" s="7">
        <v>115</v>
      </c>
      <c r="Q8" s="11">
        <v>45847</v>
      </c>
      <c r="R8" s="12"/>
      <c r="S8" s="13">
        <f t="shared" si="3"/>
        <v>-0.76000000000000512</v>
      </c>
    </row>
    <row r="9" spans="1:19" x14ac:dyDescent="0.25">
      <c r="A9" s="6">
        <f>'[1]Cash Variance'!A10</f>
        <v>45846</v>
      </c>
      <c r="B9" s="7">
        <v>0</v>
      </c>
      <c r="C9" s="8">
        <v>1773.34</v>
      </c>
      <c r="D9" s="14">
        <v>0</v>
      </c>
      <c r="E9" s="7">
        <v>23.9</v>
      </c>
      <c r="F9" s="9">
        <f t="shared" si="2"/>
        <v>1797.24</v>
      </c>
      <c r="G9" s="7">
        <v>190.24</v>
      </c>
      <c r="H9" s="7">
        <f>758.43-5.65</f>
        <v>752.78</v>
      </c>
      <c r="I9" s="7">
        <v>89.92</v>
      </c>
      <c r="J9" s="7">
        <v>720.67</v>
      </c>
      <c r="K9" s="7">
        <v>0</v>
      </c>
      <c r="L9" s="7">
        <v>43.63</v>
      </c>
      <c r="M9" s="7">
        <v>0</v>
      </c>
      <c r="N9" s="10">
        <f t="shared" si="0"/>
        <v>1797.2400000000002</v>
      </c>
      <c r="O9" s="10">
        <f t="shared" si="1"/>
        <v>0</v>
      </c>
      <c r="P9" s="7">
        <v>215</v>
      </c>
      <c r="Q9" s="11">
        <v>45855</v>
      </c>
      <c r="R9" s="12"/>
      <c r="S9" s="13">
        <f t="shared" si="3"/>
        <v>24.759999999999991</v>
      </c>
    </row>
    <row r="10" spans="1:19" x14ac:dyDescent="0.25">
      <c r="A10" s="6">
        <f>'[1]Cash Variance'!A11</f>
        <v>45847</v>
      </c>
      <c r="B10" s="7">
        <v>0</v>
      </c>
      <c r="C10" s="8">
        <v>1448.77</v>
      </c>
      <c r="D10" s="14">
        <v>0</v>
      </c>
      <c r="E10" s="7">
        <v>4.04</v>
      </c>
      <c r="F10" s="9">
        <f t="shared" si="2"/>
        <v>1452.81</v>
      </c>
      <c r="G10" s="7">
        <v>71.180000000000007</v>
      </c>
      <c r="H10" s="7">
        <f>707-4.48</f>
        <v>702.52</v>
      </c>
      <c r="I10" s="7">
        <v>0</v>
      </c>
      <c r="J10" s="7">
        <v>559.57000000000005</v>
      </c>
      <c r="K10" s="7">
        <v>12.76</v>
      </c>
      <c r="L10" s="7">
        <v>106.78</v>
      </c>
      <c r="M10" s="7">
        <v>0</v>
      </c>
      <c r="N10" s="10">
        <f t="shared" si="0"/>
        <v>1452.81</v>
      </c>
      <c r="O10" s="10">
        <f t="shared" si="1"/>
        <v>0</v>
      </c>
      <c r="P10" s="7">
        <v>66</v>
      </c>
      <c r="Q10" s="11">
        <v>45855</v>
      </c>
      <c r="R10" s="12"/>
      <c r="S10" s="13">
        <f t="shared" si="3"/>
        <v>-5.1800000000000068</v>
      </c>
    </row>
    <row r="11" spans="1:19" x14ac:dyDescent="0.25">
      <c r="A11" s="6">
        <f>'[1]Cash Variance'!A12</f>
        <v>45848</v>
      </c>
      <c r="B11" s="7">
        <v>0</v>
      </c>
      <c r="C11" s="8">
        <v>1831.99</v>
      </c>
      <c r="D11" s="7">
        <v>0</v>
      </c>
      <c r="E11" s="7">
        <v>22.77</v>
      </c>
      <c r="F11" s="9">
        <f t="shared" si="2"/>
        <v>1854.76</v>
      </c>
      <c r="G11" s="7">
        <v>106.38</v>
      </c>
      <c r="H11" s="7">
        <f>894.24-4.45</f>
        <v>889.79</v>
      </c>
      <c r="I11" s="7">
        <v>7.49</v>
      </c>
      <c r="J11" s="7">
        <v>721.93</v>
      </c>
      <c r="K11" s="7">
        <v>0</v>
      </c>
      <c r="L11" s="7">
        <v>121.19</v>
      </c>
      <c r="M11" s="7">
        <v>7.98</v>
      </c>
      <c r="N11" s="10">
        <f t="shared" si="0"/>
        <v>1854.76</v>
      </c>
      <c r="O11" s="10">
        <f t="shared" si="1"/>
        <v>0</v>
      </c>
      <c r="P11" s="7">
        <v>106</v>
      </c>
      <c r="Q11" s="11">
        <v>45855</v>
      </c>
      <c r="R11" s="12"/>
      <c r="S11" s="13">
        <f t="shared" si="3"/>
        <v>-0.37999999999999545</v>
      </c>
    </row>
    <row r="12" spans="1:19" x14ac:dyDescent="0.25">
      <c r="A12" s="6">
        <f>'[1]Cash Variance'!A13</f>
        <v>45849</v>
      </c>
      <c r="B12" s="7">
        <v>0</v>
      </c>
      <c r="C12" s="8">
        <v>2422.21</v>
      </c>
      <c r="D12" s="7">
        <v>0</v>
      </c>
      <c r="E12" s="7">
        <v>53.35</v>
      </c>
      <c r="F12" s="9">
        <f t="shared" si="2"/>
        <v>2475.56</v>
      </c>
      <c r="G12" s="7">
        <v>150.32</v>
      </c>
      <c r="H12" s="7">
        <f>1169.33-7.47</f>
        <v>1161.8599999999999</v>
      </c>
      <c r="I12" s="7">
        <v>0</v>
      </c>
      <c r="J12" s="7">
        <v>972.06</v>
      </c>
      <c r="K12" s="7">
        <v>62.08</v>
      </c>
      <c r="L12" s="7">
        <v>129.24</v>
      </c>
      <c r="M12" s="7">
        <v>0</v>
      </c>
      <c r="N12" s="10">
        <f t="shared" si="0"/>
        <v>2475.5599999999995</v>
      </c>
      <c r="O12" s="10">
        <f t="shared" si="1"/>
        <v>0</v>
      </c>
      <c r="P12" s="7">
        <v>150</v>
      </c>
      <c r="Q12" s="11">
        <v>45855</v>
      </c>
      <c r="R12" s="12"/>
      <c r="S12" s="13">
        <f t="shared" si="3"/>
        <v>-0.31999999999999318</v>
      </c>
    </row>
    <row r="13" spans="1:19" x14ac:dyDescent="0.25">
      <c r="A13" s="6">
        <f>'[1]Cash Variance'!A14</f>
        <v>45850</v>
      </c>
      <c r="B13" s="7">
        <v>0</v>
      </c>
      <c r="C13" s="8">
        <v>2253.9899999999998</v>
      </c>
      <c r="D13" s="7">
        <v>0</v>
      </c>
      <c r="E13" s="7">
        <v>63.59</v>
      </c>
      <c r="F13" s="9">
        <f t="shared" si="2"/>
        <v>2317.58</v>
      </c>
      <c r="G13" s="7">
        <v>215.56</v>
      </c>
      <c r="H13" s="7">
        <f>1113.21-2.48</f>
        <v>1110.73</v>
      </c>
      <c r="I13" s="7">
        <v>66.41</v>
      </c>
      <c r="J13" s="7">
        <v>818.6</v>
      </c>
      <c r="K13" s="7">
        <v>11.95</v>
      </c>
      <c r="L13" s="7">
        <v>94.33</v>
      </c>
      <c r="M13" s="7">
        <v>0</v>
      </c>
      <c r="N13" s="10">
        <f t="shared" si="0"/>
        <v>2317.58</v>
      </c>
      <c r="O13" s="10">
        <f t="shared" si="1"/>
        <v>0</v>
      </c>
      <c r="P13" s="7">
        <v>240</v>
      </c>
      <c r="Q13" s="11">
        <v>45860</v>
      </c>
      <c r="R13" s="12"/>
      <c r="S13" s="13">
        <f t="shared" si="3"/>
        <v>24.439999999999998</v>
      </c>
    </row>
    <row r="14" spans="1:19" x14ac:dyDescent="0.25">
      <c r="A14" s="6">
        <f>'[1]Cash Variance'!A15</f>
        <v>45851</v>
      </c>
      <c r="B14" s="7">
        <v>0</v>
      </c>
      <c r="C14" s="8">
        <v>1852.81</v>
      </c>
      <c r="D14" s="7">
        <v>0</v>
      </c>
      <c r="E14" s="7">
        <v>15.03</v>
      </c>
      <c r="F14" s="9">
        <f t="shared" si="2"/>
        <v>1867.84</v>
      </c>
      <c r="G14" s="7">
        <v>240.39</v>
      </c>
      <c r="H14" s="7">
        <f>539.04-5</f>
        <v>534.04</v>
      </c>
      <c r="I14" s="7">
        <v>0</v>
      </c>
      <c r="J14" s="7">
        <v>853.72</v>
      </c>
      <c r="K14" s="7">
        <v>107.21</v>
      </c>
      <c r="L14" s="7">
        <v>132.47999999999999</v>
      </c>
      <c r="M14" s="7">
        <v>0</v>
      </c>
      <c r="N14" s="10">
        <f t="shared" si="0"/>
        <v>1867.8400000000001</v>
      </c>
      <c r="O14" s="10">
        <f t="shared" si="1"/>
        <v>0</v>
      </c>
      <c r="P14" s="7">
        <v>240</v>
      </c>
      <c r="Q14" s="11">
        <v>45855</v>
      </c>
      <c r="R14" s="12"/>
      <c r="S14" s="13">
        <f t="shared" si="3"/>
        <v>-0.38999999999998636</v>
      </c>
    </row>
    <row r="15" spans="1:19" x14ac:dyDescent="0.25">
      <c r="A15" s="6">
        <f>'[1]Cash Variance'!A16</f>
        <v>45852</v>
      </c>
      <c r="B15" s="7">
        <v>0</v>
      </c>
      <c r="C15" s="8">
        <v>963.01</v>
      </c>
      <c r="D15" s="7">
        <v>0</v>
      </c>
      <c r="E15" s="7">
        <v>10.130000000000001</v>
      </c>
      <c r="F15" s="9">
        <f t="shared" si="2"/>
        <v>973.14</v>
      </c>
      <c r="G15" s="7">
        <v>93.91</v>
      </c>
      <c r="H15" s="7">
        <f>493.24-2.5</f>
        <v>490.74</v>
      </c>
      <c r="I15" s="15">
        <v>0</v>
      </c>
      <c r="J15" s="7">
        <v>306.3</v>
      </c>
      <c r="K15" s="7">
        <v>42.77</v>
      </c>
      <c r="L15" s="7">
        <v>39.42</v>
      </c>
      <c r="M15" s="7">
        <v>0</v>
      </c>
      <c r="N15" s="10">
        <f t="shared" si="0"/>
        <v>973.14</v>
      </c>
      <c r="O15" s="10">
        <f t="shared" si="1"/>
        <v>0</v>
      </c>
      <c r="P15" s="7">
        <v>91</v>
      </c>
      <c r="Q15" s="11">
        <v>45855</v>
      </c>
      <c r="R15" s="12"/>
      <c r="S15" s="13">
        <f t="shared" si="3"/>
        <v>-2.9099999999999966</v>
      </c>
    </row>
    <row r="16" spans="1:19" x14ac:dyDescent="0.25">
      <c r="A16" s="6">
        <f>'[1]Cash Variance'!A17</f>
        <v>45853</v>
      </c>
      <c r="B16" s="7">
        <v>0</v>
      </c>
      <c r="C16" s="8">
        <v>1379.46</v>
      </c>
      <c r="D16" s="7">
        <v>0</v>
      </c>
      <c r="E16" s="7">
        <v>8.0500000000000007</v>
      </c>
      <c r="F16" s="9">
        <f t="shared" si="2"/>
        <v>1387.51</v>
      </c>
      <c r="G16" s="7">
        <v>101.57</v>
      </c>
      <c r="H16" s="7">
        <f>560.03-4.49</f>
        <v>555.54</v>
      </c>
      <c r="I16" s="7">
        <v>0</v>
      </c>
      <c r="J16" s="7">
        <v>578.51</v>
      </c>
      <c r="K16" s="7">
        <v>43.22</v>
      </c>
      <c r="L16" s="7">
        <v>108.67</v>
      </c>
      <c r="M16" s="7">
        <v>0</v>
      </c>
      <c r="N16" s="10">
        <f t="shared" si="0"/>
        <v>1387.51</v>
      </c>
      <c r="O16" s="10">
        <f t="shared" si="1"/>
        <v>0</v>
      </c>
      <c r="P16" s="7">
        <v>66</v>
      </c>
      <c r="Q16" s="11">
        <v>45855</v>
      </c>
      <c r="R16" s="12">
        <f>-3.99-5.99-2.99-12.47-3.99-3.99-8.98-4.99</f>
        <v>-47.390000000000008</v>
      </c>
      <c r="S16" s="13">
        <f>+(P16+R16)-G16</f>
        <v>-82.960000000000008</v>
      </c>
    </row>
    <row r="17" spans="1:19" x14ac:dyDescent="0.25">
      <c r="A17" s="6">
        <f>'[1]Cash Variance'!A18</f>
        <v>45854</v>
      </c>
      <c r="B17" s="7">
        <v>0</v>
      </c>
      <c r="C17" s="8">
        <v>1447.31</v>
      </c>
      <c r="D17" s="7">
        <v>0</v>
      </c>
      <c r="E17" s="7">
        <v>15.4</v>
      </c>
      <c r="F17" s="9">
        <f t="shared" si="2"/>
        <v>1462.71</v>
      </c>
      <c r="G17" s="7">
        <v>92.96</v>
      </c>
      <c r="H17" s="7">
        <f>674.37-5</f>
        <v>669.37</v>
      </c>
      <c r="I17" s="7">
        <v>0</v>
      </c>
      <c r="J17" s="7">
        <v>586.77</v>
      </c>
      <c r="K17" s="7">
        <v>0</v>
      </c>
      <c r="L17" s="7">
        <v>113.61</v>
      </c>
      <c r="M17" s="7">
        <v>0</v>
      </c>
      <c r="N17" s="10">
        <f t="shared" si="0"/>
        <v>1462.7099999999998</v>
      </c>
      <c r="O17" s="10">
        <f t="shared" si="1"/>
        <v>0</v>
      </c>
      <c r="P17" s="7">
        <v>92</v>
      </c>
      <c r="Q17" s="11">
        <v>45855</v>
      </c>
      <c r="R17" s="12"/>
      <c r="S17" s="13">
        <f t="shared" si="3"/>
        <v>-0.95999999999999375</v>
      </c>
    </row>
    <row r="18" spans="1:19" x14ac:dyDescent="0.25">
      <c r="A18" s="6">
        <f>'[1]Cash Variance'!A19</f>
        <v>45855</v>
      </c>
      <c r="B18" s="7">
        <v>0</v>
      </c>
      <c r="C18" s="8">
        <v>1954.89</v>
      </c>
      <c r="D18" s="7">
        <v>0</v>
      </c>
      <c r="E18" s="7">
        <v>21.3</v>
      </c>
      <c r="F18" s="9">
        <f t="shared" si="2"/>
        <v>1976.19</v>
      </c>
      <c r="G18" s="7">
        <v>121.01</v>
      </c>
      <c r="H18" s="7">
        <f>860.39-7.49</f>
        <v>852.9</v>
      </c>
      <c r="I18" s="7">
        <v>0</v>
      </c>
      <c r="J18" s="7">
        <v>762.77</v>
      </c>
      <c r="K18" s="7">
        <v>29.49</v>
      </c>
      <c r="L18" s="7">
        <v>210.02</v>
      </c>
      <c r="M18" s="7">
        <v>0</v>
      </c>
      <c r="N18" s="10">
        <f t="shared" si="0"/>
        <v>1976.1899999999998</v>
      </c>
      <c r="O18" s="10">
        <f t="shared" si="1"/>
        <v>0</v>
      </c>
      <c r="P18" s="7">
        <v>120</v>
      </c>
      <c r="Q18" s="11">
        <v>45860</v>
      </c>
      <c r="R18" s="12"/>
      <c r="S18" s="13">
        <f t="shared" si="3"/>
        <v>-1.0100000000000051</v>
      </c>
    </row>
    <row r="19" spans="1:19" x14ac:dyDescent="0.25">
      <c r="A19" s="6">
        <f>'[1]Cash Variance'!A20</f>
        <v>45856</v>
      </c>
      <c r="B19" s="7">
        <v>0</v>
      </c>
      <c r="C19" s="8">
        <v>2021.21</v>
      </c>
      <c r="D19" s="7">
        <v>0</v>
      </c>
      <c r="E19" s="7">
        <v>54.19</v>
      </c>
      <c r="F19" s="9">
        <f t="shared" si="2"/>
        <v>2075.4</v>
      </c>
      <c r="G19" s="7">
        <v>280.43</v>
      </c>
      <c r="H19" s="7">
        <f>1133.13-9.5</f>
        <v>1123.6300000000001</v>
      </c>
      <c r="I19" s="7">
        <v>0</v>
      </c>
      <c r="J19" s="7">
        <v>518.75</v>
      </c>
      <c r="K19" s="7">
        <v>11.94</v>
      </c>
      <c r="L19" s="7">
        <v>140.65</v>
      </c>
      <c r="M19" s="7">
        <v>0</v>
      </c>
      <c r="N19" s="10">
        <f t="shared" si="0"/>
        <v>2075.4</v>
      </c>
      <c r="O19" s="10">
        <f t="shared" si="1"/>
        <v>0</v>
      </c>
      <c r="P19" s="7">
        <v>300</v>
      </c>
      <c r="Q19" s="11">
        <v>45860</v>
      </c>
      <c r="R19" s="12"/>
      <c r="S19" s="13">
        <f t="shared" si="3"/>
        <v>19.569999999999993</v>
      </c>
    </row>
    <row r="20" spans="1:19" x14ac:dyDescent="0.25">
      <c r="A20" s="6">
        <f>'[1]Cash Variance'!A21</f>
        <v>45857</v>
      </c>
      <c r="B20" s="7">
        <v>0</v>
      </c>
      <c r="C20" s="8">
        <v>1967.76</v>
      </c>
      <c r="D20" s="7">
        <v>0</v>
      </c>
      <c r="E20" s="7">
        <v>30.64</v>
      </c>
      <c r="F20" s="9">
        <f t="shared" si="2"/>
        <v>1998.4</v>
      </c>
      <c r="G20" s="7">
        <v>301.55</v>
      </c>
      <c r="H20" s="7">
        <v>787.89</v>
      </c>
      <c r="I20" s="7">
        <v>0</v>
      </c>
      <c r="J20" s="7">
        <v>809.4</v>
      </c>
      <c r="K20" s="7">
        <v>18.489999999999998</v>
      </c>
      <c r="L20" s="7">
        <v>81.069999999999993</v>
      </c>
      <c r="M20" s="7">
        <v>0</v>
      </c>
      <c r="N20" s="10">
        <f t="shared" si="0"/>
        <v>1998.4</v>
      </c>
      <c r="O20" s="10">
        <f t="shared" si="1"/>
        <v>0</v>
      </c>
      <c r="P20" s="7"/>
      <c r="Q20" s="11"/>
      <c r="R20" s="12"/>
      <c r="S20" s="13">
        <f>+(P20+R20)-G20</f>
        <v>-301.55</v>
      </c>
    </row>
    <row r="21" spans="1:19" x14ac:dyDescent="0.25">
      <c r="A21" s="6">
        <f>'[1]Cash Variance'!A22</f>
        <v>45858</v>
      </c>
      <c r="B21" s="7">
        <v>0</v>
      </c>
      <c r="C21" s="8">
        <v>1811.78</v>
      </c>
      <c r="D21" s="7">
        <v>0</v>
      </c>
      <c r="E21" s="7">
        <v>10</v>
      </c>
      <c r="F21" s="9">
        <f t="shared" si="2"/>
        <v>1821.78</v>
      </c>
      <c r="G21" s="7">
        <v>154.88999999999999</v>
      </c>
      <c r="H21" s="7">
        <v>805.59</v>
      </c>
      <c r="I21" s="7">
        <v>7.49</v>
      </c>
      <c r="J21" s="7">
        <v>729.17</v>
      </c>
      <c r="K21" s="7">
        <v>23.04</v>
      </c>
      <c r="L21" s="7">
        <v>101.59</v>
      </c>
      <c r="M21" s="7">
        <v>0</v>
      </c>
      <c r="N21" s="10">
        <f t="shared" si="0"/>
        <v>1821.7699999999998</v>
      </c>
      <c r="O21" s="10">
        <f t="shared" si="1"/>
        <v>1.0000000000218279E-2</v>
      </c>
      <c r="P21" s="7">
        <v>150</v>
      </c>
      <c r="Q21" s="11">
        <v>45860</v>
      </c>
      <c r="R21" s="12"/>
      <c r="S21" s="13">
        <f t="shared" si="3"/>
        <v>-4.8899999999999864</v>
      </c>
    </row>
    <row r="22" spans="1:19" x14ac:dyDescent="0.25">
      <c r="A22" s="6">
        <f>'[1]Cash Variance'!A23</f>
        <v>45859</v>
      </c>
      <c r="B22" s="7">
        <v>0</v>
      </c>
      <c r="C22" s="8">
        <v>1177.3900000000001</v>
      </c>
      <c r="D22" s="7">
        <v>0</v>
      </c>
      <c r="E22" s="7">
        <v>15.4</v>
      </c>
      <c r="F22" s="9">
        <f t="shared" si="2"/>
        <v>1192.7900000000002</v>
      </c>
      <c r="G22" s="7">
        <v>99.58</v>
      </c>
      <c r="H22" s="7">
        <v>535.62</v>
      </c>
      <c r="I22" s="7">
        <v>7.49</v>
      </c>
      <c r="J22" s="7">
        <v>481.57</v>
      </c>
      <c r="K22" s="7">
        <v>15.52</v>
      </c>
      <c r="L22" s="7">
        <v>53</v>
      </c>
      <c r="M22" s="7">
        <v>0</v>
      </c>
      <c r="N22" s="10">
        <f t="shared" si="0"/>
        <v>1192.78</v>
      </c>
      <c r="O22" s="10">
        <f t="shared" si="1"/>
        <v>1.0000000000218279E-2</v>
      </c>
      <c r="P22" s="7">
        <v>100</v>
      </c>
      <c r="Q22" s="11">
        <v>45860</v>
      </c>
      <c r="R22" s="12"/>
      <c r="S22" s="13">
        <f t="shared" si="3"/>
        <v>0.42000000000000171</v>
      </c>
    </row>
    <row r="23" spans="1:19" x14ac:dyDescent="0.25">
      <c r="A23" s="6">
        <f>'[1]Cash Variance'!A24</f>
        <v>45860</v>
      </c>
      <c r="B23" s="7">
        <v>0</v>
      </c>
      <c r="C23" s="8">
        <v>1365.04</v>
      </c>
      <c r="D23" s="7">
        <v>0</v>
      </c>
      <c r="E23" s="7">
        <v>8.6999999999999993</v>
      </c>
      <c r="F23" s="9">
        <f t="shared" si="2"/>
        <v>1373.74</v>
      </c>
      <c r="G23" s="7">
        <v>94.78</v>
      </c>
      <c r="H23" s="7">
        <v>641.4</v>
      </c>
      <c r="I23" s="7">
        <v>27.97</v>
      </c>
      <c r="J23" s="7">
        <v>566.61</v>
      </c>
      <c r="K23" s="7">
        <v>42.98</v>
      </c>
      <c r="L23" s="7">
        <v>0</v>
      </c>
      <c r="M23" s="7">
        <v>0</v>
      </c>
      <c r="N23" s="10">
        <f t="shared" si="0"/>
        <v>1373.74</v>
      </c>
      <c r="O23" s="10">
        <f t="shared" si="1"/>
        <v>0</v>
      </c>
      <c r="P23" s="7"/>
      <c r="Q23" s="11"/>
      <c r="R23" s="12"/>
      <c r="S23" s="13">
        <f t="shared" si="3"/>
        <v>-94.78</v>
      </c>
    </row>
    <row r="24" spans="1:19" x14ac:dyDescent="0.25">
      <c r="A24" s="6">
        <f>'[1]Cash Variance'!A25</f>
        <v>45861</v>
      </c>
      <c r="B24" s="7">
        <v>0</v>
      </c>
      <c r="C24" s="8">
        <v>1694.64</v>
      </c>
      <c r="D24" s="7">
        <v>0</v>
      </c>
      <c r="E24" s="7">
        <v>23.96</v>
      </c>
      <c r="F24" s="9">
        <f t="shared" si="2"/>
        <v>1718.6000000000001</v>
      </c>
      <c r="G24" s="7">
        <v>180.87</v>
      </c>
      <c r="H24" s="7">
        <f>724.51+3.44</f>
        <v>727.95</v>
      </c>
      <c r="I24" s="7">
        <v>0</v>
      </c>
      <c r="J24" s="7">
        <v>732.58</v>
      </c>
      <c r="K24" s="7">
        <v>0</v>
      </c>
      <c r="L24" s="7">
        <v>69.709999999999994</v>
      </c>
      <c r="M24" s="7">
        <v>7.49</v>
      </c>
      <c r="N24" s="10">
        <f t="shared" si="0"/>
        <v>1718.6000000000001</v>
      </c>
      <c r="O24" s="10">
        <f t="shared" si="1"/>
        <v>0</v>
      </c>
      <c r="P24" s="7"/>
      <c r="Q24" s="11"/>
      <c r="R24" s="12"/>
      <c r="S24" s="13">
        <f t="shared" si="3"/>
        <v>-180.87</v>
      </c>
    </row>
    <row r="25" spans="1:19" x14ac:dyDescent="0.25">
      <c r="A25" s="6">
        <f>'[1]Cash Variance'!A26</f>
        <v>45862</v>
      </c>
      <c r="B25" s="7">
        <v>0</v>
      </c>
      <c r="C25" s="8">
        <v>1673.47</v>
      </c>
      <c r="D25" s="7">
        <v>0</v>
      </c>
      <c r="E25" s="7">
        <v>30.67</v>
      </c>
      <c r="F25" s="9">
        <f t="shared" si="2"/>
        <v>1704.14</v>
      </c>
      <c r="G25" s="7">
        <v>99.77</v>
      </c>
      <c r="H25" s="7">
        <v>841.83</v>
      </c>
      <c r="I25" s="7">
        <v>33.96</v>
      </c>
      <c r="J25" s="7">
        <v>661.55</v>
      </c>
      <c r="K25" s="7">
        <v>0</v>
      </c>
      <c r="L25" s="7">
        <v>67.03</v>
      </c>
      <c r="M25" s="7">
        <v>0</v>
      </c>
      <c r="N25" s="10">
        <f t="shared" si="0"/>
        <v>1704.14</v>
      </c>
      <c r="O25" s="10">
        <f t="shared" si="1"/>
        <v>0</v>
      </c>
      <c r="P25" s="7"/>
      <c r="Q25" s="11"/>
      <c r="R25" s="12"/>
      <c r="S25" s="13">
        <f t="shared" si="3"/>
        <v>-99.77</v>
      </c>
    </row>
    <row r="26" spans="1:19" x14ac:dyDescent="0.25">
      <c r="A26" s="6">
        <f>'[1]Cash Variance'!A27</f>
        <v>45863</v>
      </c>
      <c r="B26" s="7">
        <v>0</v>
      </c>
      <c r="C26" s="7">
        <v>2433.81</v>
      </c>
      <c r="D26" s="7">
        <v>0</v>
      </c>
      <c r="E26" s="7">
        <v>47.62</v>
      </c>
      <c r="F26" s="9">
        <f t="shared" si="2"/>
        <v>2481.4299999999998</v>
      </c>
      <c r="G26" s="7">
        <v>188.09</v>
      </c>
      <c r="H26" s="7">
        <v>1198.68</v>
      </c>
      <c r="I26" s="7">
        <v>0</v>
      </c>
      <c r="J26" s="7">
        <v>922.18</v>
      </c>
      <c r="K26" s="7">
        <v>30.67</v>
      </c>
      <c r="L26" s="7">
        <v>141.80000000000001</v>
      </c>
      <c r="M26" s="7">
        <v>0</v>
      </c>
      <c r="N26" s="10">
        <f t="shared" si="0"/>
        <v>2481.42</v>
      </c>
      <c r="O26" s="10">
        <f>+F26-N26</f>
        <v>9.9999999997635314E-3</v>
      </c>
      <c r="P26" s="7"/>
      <c r="Q26" s="11"/>
      <c r="R26" s="12"/>
      <c r="S26" s="13">
        <f t="shared" si="3"/>
        <v>-188.09</v>
      </c>
    </row>
    <row r="27" spans="1:19" x14ac:dyDescent="0.25">
      <c r="A27" s="6">
        <f>'[1]Cash Variance'!A28</f>
        <v>45864</v>
      </c>
      <c r="B27" s="7">
        <v>0</v>
      </c>
      <c r="C27" s="8">
        <v>2062.5700000000002</v>
      </c>
      <c r="D27" s="7">
        <v>0</v>
      </c>
      <c r="E27" s="7">
        <v>24.49</v>
      </c>
      <c r="F27" s="9">
        <f t="shared" si="2"/>
        <v>2087.06</v>
      </c>
      <c r="G27" s="7">
        <v>203.72</v>
      </c>
      <c r="H27" s="7">
        <v>883.58</v>
      </c>
      <c r="I27" s="7">
        <v>15.98</v>
      </c>
      <c r="J27" s="7">
        <v>983.78</v>
      </c>
      <c r="K27" s="7">
        <v>0</v>
      </c>
      <c r="L27" s="7">
        <v>0</v>
      </c>
      <c r="M27" s="7">
        <v>0</v>
      </c>
      <c r="N27" s="10">
        <f t="shared" si="0"/>
        <v>2087.06</v>
      </c>
      <c r="O27" s="10">
        <f t="shared" si="1"/>
        <v>0</v>
      </c>
      <c r="P27" s="7"/>
      <c r="Q27" s="11"/>
      <c r="R27" s="12"/>
      <c r="S27" s="13">
        <f t="shared" si="3"/>
        <v>-203.72</v>
      </c>
    </row>
    <row r="28" spans="1:19" x14ac:dyDescent="0.25">
      <c r="A28" s="6">
        <f>'[1]Cash Variance'!A29</f>
        <v>45865</v>
      </c>
      <c r="B28" s="7">
        <v>0</v>
      </c>
      <c r="C28" s="8">
        <v>1146.4100000000001</v>
      </c>
      <c r="D28" s="7">
        <v>0</v>
      </c>
      <c r="E28" s="7">
        <v>2</v>
      </c>
      <c r="F28" s="9">
        <f t="shared" si="2"/>
        <v>1148.4100000000001</v>
      </c>
      <c r="G28" s="7">
        <v>225.06</v>
      </c>
      <c r="H28" s="7">
        <v>597.17999999999995</v>
      </c>
      <c r="I28" s="7">
        <v>0</v>
      </c>
      <c r="J28" s="7">
        <v>309.7</v>
      </c>
      <c r="K28" s="7">
        <v>0</v>
      </c>
      <c r="L28" s="7">
        <v>16.47</v>
      </c>
      <c r="M28" s="7">
        <v>0</v>
      </c>
      <c r="N28" s="10">
        <f t="shared" si="0"/>
        <v>1148.4100000000001</v>
      </c>
      <c r="O28" s="10">
        <f t="shared" si="1"/>
        <v>0</v>
      </c>
      <c r="P28" s="7"/>
      <c r="Q28" s="11"/>
      <c r="R28" s="12"/>
      <c r="S28" s="13">
        <f t="shared" si="3"/>
        <v>-225.06</v>
      </c>
    </row>
    <row r="29" spans="1:19" x14ac:dyDescent="0.25">
      <c r="A29" s="6">
        <f>'[1]Cash Variance'!A30</f>
        <v>45866</v>
      </c>
      <c r="B29" s="7">
        <v>0</v>
      </c>
      <c r="C29" s="8">
        <v>1269.74</v>
      </c>
      <c r="D29" s="7">
        <v>0</v>
      </c>
      <c r="E29" s="7">
        <v>23.8</v>
      </c>
      <c r="F29" s="9">
        <f t="shared" si="2"/>
        <v>1293.54</v>
      </c>
      <c r="G29" s="7">
        <v>76.48</v>
      </c>
      <c r="H29" s="7">
        <v>714.24</v>
      </c>
      <c r="I29" s="7">
        <v>0</v>
      </c>
      <c r="J29" s="7">
        <v>444.28</v>
      </c>
      <c r="K29" s="7">
        <v>0</v>
      </c>
      <c r="L29" s="7">
        <v>55.27</v>
      </c>
      <c r="M29" s="7">
        <v>3.27</v>
      </c>
      <c r="N29" s="10">
        <f t="shared" si="0"/>
        <v>1293.54</v>
      </c>
      <c r="O29" s="10">
        <f t="shared" si="1"/>
        <v>0</v>
      </c>
      <c r="P29" s="7"/>
      <c r="Q29" s="11"/>
      <c r="R29" s="12"/>
      <c r="S29" s="13">
        <f t="shared" si="3"/>
        <v>-76.48</v>
      </c>
    </row>
    <row r="30" spans="1:19" x14ac:dyDescent="0.25">
      <c r="A30" s="6">
        <f>'[1]Cash Variance'!A31</f>
        <v>45867</v>
      </c>
      <c r="B30" s="8">
        <v>0</v>
      </c>
      <c r="C30" s="8">
        <v>1794.77</v>
      </c>
      <c r="D30" s="7">
        <v>0</v>
      </c>
      <c r="E30" s="7">
        <v>23.68</v>
      </c>
      <c r="F30" s="9">
        <f t="shared" si="2"/>
        <v>1818.45</v>
      </c>
      <c r="G30" s="7">
        <v>145.37</v>
      </c>
      <c r="H30" s="7">
        <v>964.3</v>
      </c>
      <c r="I30" s="7">
        <v>-14.49</v>
      </c>
      <c r="J30" s="7">
        <v>673.25</v>
      </c>
      <c r="K30" s="7">
        <v>18.5</v>
      </c>
      <c r="L30" s="7">
        <v>31.52</v>
      </c>
      <c r="M30" s="7">
        <v>0</v>
      </c>
      <c r="N30" s="16">
        <f t="shared" si="0"/>
        <v>1818.45</v>
      </c>
      <c r="O30" s="16">
        <f t="shared" si="1"/>
        <v>0</v>
      </c>
      <c r="P30" s="7"/>
      <c r="Q30" s="11"/>
      <c r="R30" s="12"/>
      <c r="S30" s="13">
        <f t="shared" si="3"/>
        <v>-145.37</v>
      </c>
    </row>
    <row r="31" spans="1:19" x14ac:dyDescent="0.25">
      <c r="A31" s="6">
        <f>'[1]Cash Variance'!A32</f>
        <v>45868</v>
      </c>
      <c r="B31" s="8">
        <v>0</v>
      </c>
      <c r="C31" s="8">
        <v>1525.89</v>
      </c>
      <c r="D31" s="7">
        <v>0</v>
      </c>
      <c r="E31" s="7">
        <v>10.84</v>
      </c>
      <c r="F31" s="9">
        <f t="shared" si="2"/>
        <v>1536.73</v>
      </c>
      <c r="G31" s="7">
        <v>152.15</v>
      </c>
      <c r="H31" s="7">
        <f>569.24-2.5</f>
        <v>566.74</v>
      </c>
      <c r="I31" s="7">
        <v>0</v>
      </c>
      <c r="J31" s="7">
        <v>702.02</v>
      </c>
      <c r="K31" s="7">
        <v>16.71</v>
      </c>
      <c r="L31" s="7">
        <v>79.11</v>
      </c>
      <c r="M31" s="17">
        <v>20</v>
      </c>
      <c r="N31" s="18">
        <f t="shared" si="0"/>
        <v>1536.7299999999998</v>
      </c>
      <c r="O31" s="18">
        <f t="shared" si="1"/>
        <v>0</v>
      </c>
      <c r="P31" s="7"/>
      <c r="Q31" s="11"/>
      <c r="R31" s="12"/>
      <c r="S31" s="13">
        <f t="shared" si="3"/>
        <v>-152.15</v>
      </c>
    </row>
    <row r="32" spans="1:19" ht="15.75" thickBot="1" x14ac:dyDescent="0.3">
      <c r="A32" s="6">
        <f>'[1]Cash Variance'!A33</f>
        <v>45869</v>
      </c>
      <c r="B32" s="8">
        <v>0</v>
      </c>
      <c r="C32" s="8">
        <v>1675.87</v>
      </c>
      <c r="D32" s="19">
        <v>0</v>
      </c>
      <c r="E32" s="19">
        <v>23.85</v>
      </c>
      <c r="F32" s="9">
        <f t="shared" si="2"/>
        <v>1699.7199999999998</v>
      </c>
      <c r="G32" s="19">
        <v>100.31</v>
      </c>
      <c r="H32" s="19">
        <f>689.77-2.48</f>
        <v>687.29</v>
      </c>
      <c r="I32" s="19">
        <v>7.49</v>
      </c>
      <c r="J32" s="19">
        <v>802.03</v>
      </c>
      <c r="K32" s="19">
        <v>0</v>
      </c>
      <c r="L32" s="19">
        <v>102.6</v>
      </c>
      <c r="M32" s="20">
        <v>0</v>
      </c>
      <c r="N32" s="18">
        <f t="shared" si="0"/>
        <v>1699.7199999999998</v>
      </c>
      <c r="O32" s="18">
        <f>+F32-N32</f>
        <v>0</v>
      </c>
      <c r="P32" s="7"/>
      <c r="Q32" s="11"/>
      <c r="R32" s="12"/>
      <c r="S32" s="13">
        <f t="shared" si="3"/>
        <v>-100.31</v>
      </c>
    </row>
    <row r="33" spans="1:19" ht="15.75" thickBot="1" x14ac:dyDescent="0.3">
      <c r="A33" s="21" t="s">
        <v>8</v>
      </c>
      <c r="B33" s="22">
        <f>SUM(B2:B32)</f>
        <v>0</v>
      </c>
      <c r="C33" s="22">
        <f t="shared" ref="C33:M33" si="4">SUM(C2:C32)</f>
        <v>51279.06</v>
      </c>
      <c r="D33" s="22">
        <f t="shared" si="4"/>
        <v>0</v>
      </c>
      <c r="E33" s="22">
        <f>SUM(E2:E32)</f>
        <v>704.01999999999987</v>
      </c>
      <c r="F33" s="23">
        <f>SUM(F2:F32)</f>
        <v>51983.08</v>
      </c>
      <c r="G33" s="22">
        <f t="shared" si="4"/>
        <v>4629.6399999999994</v>
      </c>
      <c r="H33" s="22">
        <f>SUM(H2:H32)</f>
        <v>23653.180000000008</v>
      </c>
      <c r="I33" s="22">
        <f t="shared" si="4"/>
        <v>315.35000000000002</v>
      </c>
      <c r="J33" s="22">
        <f>SUM(J2:J32)</f>
        <v>20073.749999999996</v>
      </c>
      <c r="K33" s="22">
        <f t="shared" si="4"/>
        <v>658.88</v>
      </c>
      <c r="L33" s="22">
        <f>SUM(L2:L32)</f>
        <v>2613.5100000000002</v>
      </c>
      <c r="M33" s="22">
        <f t="shared" si="4"/>
        <v>38.74</v>
      </c>
      <c r="N33" s="23">
        <f>SUM(N2:N32)</f>
        <v>51983.049999999996</v>
      </c>
      <c r="O33" s="23">
        <f t="shared" ref="O33:R33" si="5">SUM(O2:O32)</f>
        <v>3.0000000000200089E-2</v>
      </c>
      <c r="P33" s="22">
        <f>SUM(P2:P32)</f>
        <v>2776</v>
      </c>
      <c r="Q33" s="22"/>
      <c r="R33" s="22">
        <f t="shared" si="5"/>
        <v>-47.390000000000008</v>
      </c>
      <c r="S33" s="23">
        <f>SUM(S2:S32)</f>
        <v>-1901.0299999999997</v>
      </c>
    </row>
    <row r="34" spans="1:19" x14ac:dyDescent="0.25">
      <c r="A34" s="24" t="s">
        <v>0</v>
      </c>
      <c r="B34" s="25">
        <f>+B33</f>
        <v>0</v>
      </c>
      <c r="C34" s="25">
        <f>+C33</f>
        <v>51279.06</v>
      </c>
      <c r="D34" s="25">
        <f>+D33</f>
        <v>0</v>
      </c>
      <c r="E34" s="25">
        <f>+E33</f>
        <v>704.01999999999987</v>
      </c>
      <c r="F34" s="24"/>
      <c r="G34" s="25">
        <f>+G33</f>
        <v>4629.6399999999994</v>
      </c>
      <c r="H34" s="24"/>
      <c r="I34" s="24"/>
      <c r="J34" s="25">
        <f>+J33</f>
        <v>20073.749999999996</v>
      </c>
      <c r="K34" s="25">
        <f>+K33</f>
        <v>658.88</v>
      </c>
      <c r="L34" s="25">
        <f>+L33</f>
        <v>2613.5100000000002</v>
      </c>
      <c r="M34" s="25">
        <f>+M33</f>
        <v>38.74</v>
      </c>
      <c r="N34" s="24"/>
      <c r="O34" s="24"/>
      <c r="P34" s="24"/>
      <c r="Q34" s="26"/>
      <c r="R34" s="24"/>
    </row>
    <row r="35" spans="1:19" x14ac:dyDescent="0.25">
      <c r="A35" s="27" t="s">
        <v>9</v>
      </c>
      <c r="B35" s="28">
        <f>+B33</f>
        <v>0</v>
      </c>
      <c r="C35" s="28">
        <f>+C33</f>
        <v>51279.06</v>
      </c>
      <c r="D35" s="28">
        <f>+D33</f>
        <v>0</v>
      </c>
      <c r="E35" s="28">
        <f>+E33</f>
        <v>704.01999999999987</v>
      </c>
      <c r="F35" s="28"/>
      <c r="G35" s="28">
        <f>+G33</f>
        <v>4629.6399999999994</v>
      </c>
      <c r="H35" s="27"/>
      <c r="I35" s="27"/>
      <c r="J35" s="28">
        <f>+J33</f>
        <v>20073.749999999996</v>
      </c>
      <c r="K35" s="28">
        <f>+K33</f>
        <v>658.88</v>
      </c>
      <c r="L35" s="28">
        <f>+L33</f>
        <v>2613.5100000000002</v>
      </c>
      <c r="M35" s="28">
        <f>+M33</f>
        <v>38.74</v>
      </c>
      <c r="N35" s="27"/>
      <c r="O35" s="27"/>
      <c r="P35" s="27"/>
      <c r="Q35" s="29"/>
      <c r="R35" s="30"/>
      <c r="S35" s="31"/>
    </row>
    <row r="36" spans="1:19" x14ac:dyDescent="0.25">
      <c r="A36" s="27"/>
      <c r="B36" s="27"/>
      <c r="C36" s="27"/>
      <c r="D36" s="27"/>
      <c r="E36" s="27"/>
      <c r="F36" s="27"/>
      <c r="G36" s="27"/>
      <c r="H36" s="40" t="s">
        <v>10</v>
      </c>
      <c r="I36" s="40"/>
      <c r="J36" s="33">
        <v>24357.8</v>
      </c>
      <c r="K36" s="32">
        <f>693.92-22.68</f>
        <v>671.24</v>
      </c>
      <c r="L36" s="32">
        <f>3440.04</f>
        <v>3440.04</v>
      </c>
      <c r="M36" s="27"/>
      <c r="N36" s="27"/>
      <c r="O36" s="27"/>
      <c r="P36" s="27"/>
      <c r="Q36" s="29"/>
      <c r="R36" s="30"/>
      <c r="S36" s="31"/>
    </row>
    <row r="37" spans="1:19" x14ac:dyDescent="0.25">
      <c r="A37" s="27"/>
      <c r="B37" s="27"/>
      <c r="C37" s="27"/>
      <c r="D37" s="27"/>
      <c r="E37" s="27"/>
      <c r="F37" s="27"/>
      <c r="G37" s="27"/>
      <c r="H37" s="40" t="s">
        <v>11</v>
      </c>
      <c r="I37" s="40"/>
      <c r="J37" s="34">
        <f>+J36-J33</f>
        <v>4284.0500000000029</v>
      </c>
      <c r="K37" s="35">
        <f>+K36-K33</f>
        <v>12.360000000000014</v>
      </c>
      <c r="L37" s="35">
        <f>+L36-L33</f>
        <v>826.52999999999975</v>
      </c>
      <c r="M37" s="27"/>
      <c r="N37" s="27"/>
      <c r="O37" s="27"/>
      <c r="P37" s="27"/>
      <c r="Q37" s="27"/>
      <c r="R37" s="30"/>
      <c r="S37" s="31"/>
    </row>
    <row r="38" spans="1:19" x14ac:dyDescent="0.25">
      <c r="A38" s="27"/>
      <c r="B38" s="27"/>
      <c r="C38" s="27"/>
      <c r="D38" s="27"/>
      <c r="E38" s="27"/>
      <c r="F38" s="27"/>
      <c r="G38" s="27"/>
      <c r="H38" s="40" t="s">
        <v>12</v>
      </c>
      <c r="I38" s="40"/>
      <c r="J38" s="33">
        <v>-4160.08</v>
      </c>
      <c r="K38" s="32">
        <v>-68.34</v>
      </c>
      <c r="L38" s="32">
        <f>-538.54+143.9</f>
        <v>-394.64</v>
      </c>
      <c r="M38" s="27"/>
      <c r="N38" s="27"/>
      <c r="O38" s="27"/>
      <c r="P38" s="27"/>
      <c r="Q38" s="27"/>
      <c r="R38" s="36"/>
      <c r="S38" s="36"/>
    </row>
    <row r="39" spans="1:19" x14ac:dyDescent="0.25">
      <c r="A39" s="27"/>
      <c r="B39" s="27"/>
      <c r="C39" s="27"/>
      <c r="D39" s="27"/>
      <c r="E39" s="27"/>
      <c r="F39" s="27"/>
      <c r="G39" s="27"/>
      <c r="H39" s="40" t="s">
        <v>13</v>
      </c>
      <c r="I39" s="40"/>
      <c r="J39" s="33">
        <v>-6727.88</v>
      </c>
      <c r="K39" s="32">
        <f>-62.58-23</f>
        <v>-85.58</v>
      </c>
      <c r="L39" s="32">
        <v>-844</v>
      </c>
      <c r="M39" s="27"/>
      <c r="N39" s="27"/>
      <c r="O39" s="27"/>
      <c r="P39" s="27"/>
      <c r="Q39" s="27"/>
      <c r="R39" s="27"/>
    </row>
    <row r="40" spans="1:19" x14ac:dyDescent="0.25">
      <c r="A40" s="27"/>
      <c r="B40" s="27"/>
      <c r="C40" s="27"/>
      <c r="D40" s="27"/>
      <c r="E40" s="27"/>
      <c r="F40" s="27"/>
      <c r="G40" s="27"/>
      <c r="H40" s="40" t="s">
        <v>14</v>
      </c>
      <c r="I40" s="40"/>
      <c r="J40" s="33">
        <v>-812.36</v>
      </c>
      <c r="K40" s="32">
        <v>-39.619999999999997</v>
      </c>
      <c r="L40" s="32">
        <v>-27.57</v>
      </c>
      <c r="M40" s="27"/>
      <c r="N40" s="27"/>
      <c r="O40" s="27"/>
      <c r="P40" s="27"/>
      <c r="Q40" s="27"/>
      <c r="R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41" t="s">
        <v>15</v>
      </c>
      <c r="I41" s="41"/>
      <c r="J41" s="37">
        <f>+J36+J38+J39+J40</f>
        <v>12657.48</v>
      </c>
      <c r="K41" s="38">
        <f>+K36+K38+K39+K40</f>
        <v>477.69999999999993</v>
      </c>
      <c r="L41" s="38">
        <f>+L36+L38+L39+L40</f>
        <v>2173.83</v>
      </c>
      <c r="M41" s="27"/>
      <c r="N41" s="27"/>
      <c r="O41" s="27"/>
      <c r="P41" s="27"/>
      <c r="Q41" s="27"/>
      <c r="R41" s="27"/>
    </row>
    <row r="42" spans="1:19" ht="15.75" thickTop="1" x14ac:dyDescent="0.25"/>
  </sheetData>
  <mergeCells count="6">
    <mergeCell ref="H40:I40"/>
    <mergeCell ref="H41:I41"/>
    <mergeCell ref="H36:I36"/>
    <mergeCell ref="H37:I37"/>
    <mergeCell ref="H38:I38"/>
    <mergeCell ref="H39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2025-08-20T12:23:42Z</dcterms:created>
  <dcterms:modified xsi:type="dcterms:W3CDTF">2025-10-08T06:11:54Z</dcterms:modified>
</cp:coreProperties>
</file>