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363781F-741E-4701-930F-B8CB957BA1BD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7" i="1" s="1"/>
  <c r="G33" i="1"/>
  <c r="G34" i="1" s="1"/>
  <c r="H2" i="1"/>
  <c r="D33" i="1"/>
  <c r="D34" i="1" s="1"/>
  <c r="C33" i="1"/>
  <c r="C35" i="1" s="1"/>
  <c r="A2" i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<sst xmlns="http://schemas.openxmlformats.org/spreadsheetml/2006/main" count="29" uniqueCount="29">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</sst>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41" t="s">
        <v>28</v>
      </c>
      <c r="B1" s="1" t="s">
        <v>17</v>
      </c>
      <c r="C1" s="1" t="s">
        <v>18</v>
      </c>
      <c r="D1" s="2" t="s">
        <v>19</v>
      </c>
      <c r="E1" s="2" t="s">
        <v>20</v>
      </c>
      <c r="F1" s="3" t="s">
        <v>21</v>
      </c>
      <c r="G1" s="2" t="s">
        <v>22</v>
      </c>
      <c r="H1" s="2" t="s">
        <v>23</v>
      </c>
      <c r="I1" s="2" t="s">
        <v>1</v>
      </c>
      <c r="J1" s="4" t="s">
        <v>2</v>
      </c>
      <c r="K1" s="4" t="s">
        <v>3</v>
      </c>
      <c r="L1" s="4" t="s">
        <v>24</v>
      </c>
      <c r="M1" s="2" t="s">
        <v>25</v>
      </c>
      <c r="N1" s="5" t="s">
        <v>4</v>
      </c>
      <c r="O1" s="5" t="s">
        <v>5</v>
      </c>
      <c r="P1" s="2" t="s">
        <v>27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1586.18</v>
      </c>
      <c r="C2" s="7">
        <v>405.68</v>
      </c>
      <c r="D2" s="8">
        <v>127.16</v>
      </c>
      <c r="E2" s="8">
        <v>0</v>
      </c>
      <c r="F2" s="9">
        <f>SUM(B2:E2)</f>
        <v>2119.02</v>
      </c>
      <c r="G2" s="8">
        <v>428.45</v>
      </c>
      <c r="H2" s="8">
        <f>1264.29-7</f>
        <v>1257.29</v>
      </c>
      <c r="I2" s="8">
        <v>35.049999999999997</v>
      </c>
      <c r="J2" s="8">
        <v>191.29</v>
      </c>
      <c r="K2" s="8">
        <v>84.15</v>
      </c>
      <c r="L2" s="8">
        <v>122.79</v>
      </c>
      <c r="M2" s="8">
        <v>0</v>
      </c>
      <c r="N2" s="10">
        <f t="shared" ref="N2:N32" si="0">SUM(G2:M2)</f>
        <v>2119.02</v>
      </c>
      <c r="O2" s="10">
        <f t="shared" ref="O2:O32" si="1">+F2-N2</f>
        <v>0</v>
      </c>
      <c r="P2" s="8">
        <v>425</v>
      </c>
      <c r="Q2" s="11">
        <v>45841</v>
      </c>
      <c r="R2" s="12"/>
      <c r="S2" s="13">
        <f t="shared" ref="S2:S32" si="2">P2-G2-R2</f>
        <v>-3.4499999999999886</v>
      </c>
    </row>
    <row r="3" spans="1:19" x14ac:dyDescent="0.25">
      <c r="A3" s="6">
        <f>'[1]Cash Variance'!A4</f>
        <v>45840</v>
      </c>
      <c r="B3" s="7">
        <v>1414.08</v>
      </c>
      <c r="C3" s="7">
        <v>406.8</v>
      </c>
      <c r="D3" s="8">
        <v>113.37</v>
      </c>
      <c r="E3" s="8">
        <v>0</v>
      </c>
      <c r="F3" s="9">
        <f t="shared" ref="F3:F32" si="3">SUM(B3:E3)</f>
        <v>1934.25</v>
      </c>
      <c r="G3" s="8">
        <v>464.23</v>
      </c>
      <c r="H3" s="8">
        <f>1070.23-9.5</f>
        <v>1060.73</v>
      </c>
      <c r="I3" s="8">
        <v>8.09</v>
      </c>
      <c r="J3" s="8">
        <v>204.52</v>
      </c>
      <c r="K3" s="8">
        <v>19.100000000000001</v>
      </c>
      <c r="L3" s="8">
        <v>177.58</v>
      </c>
      <c r="M3" s="8">
        <v>0</v>
      </c>
      <c r="N3" s="10">
        <f t="shared" si="0"/>
        <v>1934.2499999999998</v>
      </c>
      <c r="O3" s="10">
        <f t="shared" si="1"/>
        <v>0</v>
      </c>
      <c r="P3" s="8">
        <v>465</v>
      </c>
      <c r="Q3" s="11">
        <v>45848</v>
      </c>
      <c r="R3" s="12"/>
      <c r="S3" s="13">
        <f t="shared" si="2"/>
        <v>0.76999999999998181</v>
      </c>
    </row>
    <row r="4" spans="1:19" x14ac:dyDescent="0.25">
      <c r="A4" s="6">
        <f>'[1]Cash Variance'!A5</f>
        <v>45841</v>
      </c>
      <c r="B4" s="7">
        <v>1741.32</v>
      </c>
      <c r="C4" s="7">
        <v>404.83</v>
      </c>
      <c r="D4" s="8">
        <v>139.53</v>
      </c>
      <c r="E4" s="8">
        <v>0</v>
      </c>
      <c r="F4" s="9">
        <f t="shared" si="3"/>
        <v>2285.6800000000003</v>
      </c>
      <c r="G4" s="8">
        <v>439.1</v>
      </c>
      <c r="H4" s="8">
        <f>1447.15-8.96</f>
        <v>1438.19</v>
      </c>
      <c r="I4" s="8">
        <v>0</v>
      </c>
      <c r="J4" s="8">
        <v>281.29000000000002</v>
      </c>
      <c r="K4" s="8">
        <v>0</v>
      </c>
      <c r="L4" s="8">
        <v>127.1</v>
      </c>
      <c r="M4" s="8">
        <v>0</v>
      </c>
      <c r="N4" s="10">
        <f t="shared" si="0"/>
        <v>2285.6799999999998</v>
      </c>
      <c r="O4" s="10">
        <f t="shared" si="1"/>
        <v>0</v>
      </c>
      <c r="P4" s="8">
        <v>440</v>
      </c>
      <c r="Q4" s="11">
        <v>45848</v>
      </c>
      <c r="R4" s="12"/>
      <c r="S4" s="13">
        <f t="shared" si="2"/>
        <v>0.89999999999997726</v>
      </c>
    </row>
    <row r="5" spans="1:19" x14ac:dyDescent="0.25">
      <c r="A5" s="6">
        <f>'[1]Cash Variance'!A6</f>
        <v>45842</v>
      </c>
      <c r="B5" s="7">
        <v>1206.05</v>
      </c>
      <c r="C5" s="7">
        <v>316.20999999999998</v>
      </c>
      <c r="D5" s="8">
        <v>96.62</v>
      </c>
      <c r="E5" s="8">
        <v>3.69</v>
      </c>
      <c r="F5" s="9">
        <f t="shared" si="3"/>
        <v>1622.5700000000002</v>
      </c>
      <c r="G5" s="8">
        <v>407.89</v>
      </c>
      <c r="H5" s="8">
        <f>840.73-11.99</f>
        <v>828.74</v>
      </c>
      <c r="I5" s="8">
        <v>66.33</v>
      </c>
      <c r="J5" s="8">
        <v>196.57</v>
      </c>
      <c r="K5" s="8">
        <v>0</v>
      </c>
      <c r="L5" s="8">
        <v>123.04</v>
      </c>
      <c r="M5" s="8">
        <v>0</v>
      </c>
      <c r="N5" s="10">
        <f t="shared" si="0"/>
        <v>1622.57</v>
      </c>
      <c r="O5" s="10">
        <f t="shared" si="1"/>
        <v>0</v>
      </c>
      <c r="P5" s="8">
        <v>405</v>
      </c>
      <c r="Q5" s="11">
        <v>45848</v>
      </c>
      <c r="R5" s="12"/>
      <c r="S5" s="13">
        <f t="shared" si="2"/>
        <v>-2.8899999999999864</v>
      </c>
    </row>
    <row r="6" spans="1:19" x14ac:dyDescent="0.25">
      <c r="A6" s="6">
        <f>'[1]Cash Variance'!A7</f>
        <v>45843</v>
      </c>
      <c r="B6" s="7">
        <v>1909.9</v>
      </c>
      <c r="C6" s="14">
        <v>272.89</v>
      </c>
      <c r="D6" s="8">
        <v>153.07</v>
      </c>
      <c r="E6" s="8">
        <v>6</v>
      </c>
      <c r="F6" s="9">
        <f t="shared" si="3"/>
        <v>2341.86</v>
      </c>
      <c r="G6" s="8">
        <v>522.46</v>
      </c>
      <c r="H6" s="8">
        <f>1530.14-6.49</f>
        <v>1523.65</v>
      </c>
      <c r="I6" s="8">
        <v>22.65</v>
      </c>
      <c r="J6" s="8">
        <v>185.54</v>
      </c>
      <c r="K6" s="8">
        <v>0</v>
      </c>
      <c r="L6" s="8">
        <v>87.56</v>
      </c>
      <c r="M6" s="8">
        <v>0</v>
      </c>
      <c r="N6" s="10">
        <f t="shared" si="0"/>
        <v>2341.86</v>
      </c>
      <c r="O6" s="10">
        <f t="shared" si="1"/>
        <v>0</v>
      </c>
      <c r="P6" s="8">
        <v>520</v>
      </c>
      <c r="Q6" s="11">
        <v>45848</v>
      </c>
      <c r="R6" s="12"/>
      <c r="S6" s="13">
        <f t="shared" si="2"/>
        <v>-2.4600000000000364</v>
      </c>
    </row>
    <row r="7" spans="1:19" x14ac:dyDescent="0.25">
      <c r="A7" s="6">
        <f>'[1]Cash Variance'!A8</f>
        <v>45844</v>
      </c>
      <c r="B7" s="7">
        <v>1217.1199999999999</v>
      </c>
      <c r="C7" s="7">
        <v>365.71</v>
      </c>
      <c r="D7" s="8">
        <v>97.61</v>
      </c>
      <c r="E7" s="8">
        <v>4</v>
      </c>
      <c r="F7" s="9">
        <f t="shared" si="3"/>
        <v>1684.4399999999998</v>
      </c>
      <c r="G7" s="8">
        <v>258.01</v>
      </c>
      <c r="H7" s="8">
        <f>1063.22-3.69</f>
        <v>1059.53</v>
      </c>
      <c r="I7" s="8">
        <v>0</v>
      </c>
      <c r="J7" s="8">
        <v>208.96</v>
      </c>
      <c r="K7" s="8">
        <v>107.46</v>
      </c>
      <c r="L7" s="8">
        <v>50.48</v>
      </c>
      <c r="M7" s="8">
        <v>0</v>
      </c>
      <c r="N7" s="10">
        <f t="shared" si="0"/>
        <v>1684.44</v>
      </c>
      <c r="O7" s="10">
        <f t="shared" si="1"/>
        <v>0</v>
      </c>
      <c r="P7" s="8"/>
      <c r="Q7" s="11"/>
      <c r="R7" s="12">
        <v>-260</v>
      </c>
      <c r="S7" s="13">
        <f t="shared" si="2"/>
        <v>1.9900000000000091</v>
      </c>
    </row>
    <row r="8" spans="1:19" x14ac:dyDescent="0.25">
      <c r="A8" s="6">
        <f>'[1]Cash Variance'!A9</f>
        <v>45845</v>
      </c>
      <c r="B8" s="7">
        <v>1206.5899999999999</v>
      </c>
      <c r="C8" s="7">
        <v>150.16</v>
      </c>
      <c r="D8" s="8">
        <v>96.67</v>
      </c>
      <c r="E8" s="8">
        <v>2.4</v>
      </c>
      <c r="F8" s="9">
        <f t="shared" si="3"/>
        <v>1455.8200000000002</v>
      </c>
      <c r="G8" s="8">
        <v>328.19</v>
      </c>
      <c r="H8" s="8">
        <v>974.4</v>
      </c>
      <c r="I8" s="8">
        <v>4.8499999999999996</v>
      </c>
      <c r="J8" s="8">
        <v>137.38999999999999</v>
      </c>
      <c r="K8" s="8">
        <v>0</v>
      </c>
      <c r="L8" s="8">
        <v>10.97</v>
      </c>
      <c r="M8" s="8">
        <v>0</v>
      </c>
      <c r="N8" s="10">
        <f t="shared" si="0"/>
        <v>1455.8</v>
      </c>
      <c r="O8" s="10">
        <f t="shared" si="1"/>
        <v>2.0000000000209184E-2</v>
      </c>
      <c r="P8" s="8">
        <v>325</v>
      </c>
      <c r="Q8" s="11">
        <v>45848</v>
      </c>
      <c r="R8" s="12"/>
      <c r="S8" s="13">
        <f t="shared" si="2"/>
        <v>-3.1899999999999977</v>
      </c>
    </row>
    <row r="9" spans="1:19" x14ac:dyDescent="0.25">
      <c r="A9" s="6">
        <f>'[1]Cash Variance'!A10</f>
        <v>45846</v>
      </c>
      <c r="B9" s="7">
        <v>1264.4100000000001</v>
      </c>
      <c r="C9" s="7">
        <v>297.10000000000002</v>
      </c>
      <c r="D9" s="15">
        <v>101.34</v>
      </c>
      <c r="E9" s="8">
        <v>3</v>
      </c>
      <c r="F9" s="9">
        <f t="shared" si="3"/>
        <v>1665.8500000000001</v>
      </c>
      <c r="G9" s="8">
        <v>380.83</v>
      </c>
      <c r="H9" s="8">
        <f>1001.67-2.46</f>
        <v>999.20999999999992</v>
      </c>
      <c r="I9" s="8">
        <v>0</v>
      </c>
      <c r="J9" s="8">
        <v>183.65</v>
      </c>
      <c r="K9" s="8">
        <v>20.27</v>
      </c>
      <c r="L9" s="8">
        <v>81.89</v>
      </c>
      <c r="M9" s="8">
        <v>0</v>
      </c>
      <c r="N9" s="10">
        <f t="shared" si="0"/>
        <v>1665.8500000000001</v>
      </c>
      <c r="O9" s="10">
        <f t="shared" si="1"/>
        <v>0</v>
      </c>
      <c r="P9" s="8">
        <v>380</v>
      </c>
      <c r="Q9" s="11">
        <v>45848</v>
      </c>
      <c r="R9" s="12"/>
      <c r="S9" s="13">
        <f t="shared" si="2"/>
        <v>-0.82999999999998408</v>
      </c>
    </row>
    <row r="10" spans="1:19" x14ac:dyDescent="0.25">
      <c r="A10" s="6">
        <f>'[1]Cash Variance'!A11</f>
        <v>45847</v>
      </c>
      <c r="B10" s="7">
        <v>1474.84</v>
      </c>
      <c r="C10" s="7">
        <v>260.25</v>
      </c>
      <c r="D10" s="15">
        <v>118.22</v>
      </c>
      <c r="E10" s="8">
        <v>2</v>
      </c>
      <c r="F10" s="9">
        <f t="shared" si="3"/>
        <v>1855.31</v>
      </c>
      <c r="G10" s="8">
        <v>519.71</v>
      </c>
      <c r="H10" s="8">
        <f>1082.13-2.48</f>
        <v>1079.6500000000001</v>
      </c>
      <c r="I10" s="8">
        <v>0</v>
      </c>
      <c r="J10" s="8">
        <v>157.16</v>
      </c>
      <c r="K10" s="8">
        <v>0</v>
      </c>
      <c r="L10" s="8">
        <v>98.79</v>
      </c>
      <c r="M10" s="8">
        <v>0</v>
      </c>
      <c r="N10" s="10">
        <f t="shared" si="0"/>
        <v>1855.3100000000002</v>
      </c>
      <c r="O10" s="10">
        <f t="shared" si="1"/>
        <v>0</v>
      </c>
      <c r="P10" s="8">
        <v>520</v>
      </c>
      <c r="Q10" s="11">
        <v>45853</v>
      </c>
      <c r="R10" s="12"/>
      <c r="S10" s="13">
        <f t="shared" si="2"/>
        <v>0.28999999999996362</v>
      </c>
    </row>
    <row r="11" spans="1:19" x14ac:dyDescent="0.25">
      <c r="A11" s="6">
        <f>'[1]Cash Variance'!A12</f>
        <v>45848</v>
      </c>
      <c r="B11" s="7">
        <v>1577.45</v>
      </c>
      <c r="C11" s="7">
        <v>392.43</v>
      </c>
      <c r="D11" s="8">
        <v>126.41</v>
      </c>
      <c r="E11" s="8">
        <v>6</v>
      </c>
      <c r="F11" s="9">
        <f t="shared" si="3"/>
        <v>2102.29</v>
      </c>
      <c r="G11" s="8">
        <v>687.82</v>
      </c>
      <c r="H11" s="8">
        <f>1033.48-17.09</f>
        <v>1016.39</v>
      </c>
      <c r="I11" s="8">
        <v>0</v>
      </c>
      <c r="J11" s="8">
        <v>249.04</v>
      </c>
      <c r="K11" s="8">
        <v>0</v>
      </c>
      <c r="L11" s="8">
        <v>149.04</v>
      </c>
      <c r="M11" s="8">
        <v>0</v>
      </c>
      <c r="N11" s="10">
        <f t="shared" si="0"/>
        <v>2102.29</v>
      </c>
      <c r="O11" s="10">
        <f t="shared" si="1"/>
        <v>0</v>
      </c>
      <c r="P11" s="8">
        <v>685</v>
      </c>
      <c r="Q11" s="11">
        <v>45853</v>
      </c>
      <c r="R11" s="12"/>
      <c r="S11" s="13">
        <f t="shared" si="2"/>
        <v>-2.82000000000005</v>
      </c>
    </row>
    <row r="12" spans="1:19" x14ac:dyDescent="0.25">
      <c r="A12" s="6">
        <f>'[1]Cash Variance'!A13</f>
        <v>45849</v>
      </c>
      <c r="B12" s="7">
        <v>2094.4699999999998</v>
      </c>
      <c r="C12" s="7">
        <v>441.72</v>
      </c>
      <c r="D12" s="8">
        <v>167.85</v>
      </c>
      <c r="E12" s="8">
        <v>4.68</v>
      </c>
      <c r="F12" s="9">
        <f t="shared" si="3"/>
        <v>2708.7199999999993</v>
      </c>
      <c r="G12" s="8">
        <v>800.67</v>
      </c>
      <c r="H12" s="8">
        <f>1438.15-9.99</f>
        <v>1428.16</v>
      </c>
      <c r="I12" s="8">
        <v>33.17</v>
      </c>
      <c r="J12" s="8">
        <v>261.83999999999997</v>
      </c>
      <c r="K12" s="8">
        <v>41.79</v>
      </c>
      <c r="L12" s="8">
        <v>143.09</v>
      </c>
      <c r="M12" s="8">
        <v>0</v>
      </c>
      <c r="N12" s="10">
        <f t="shared" si="0"/>
        <v>2708.7200000000003</v>
      </c>
      <c r="O12" s="10">
        <f t="shared" si="1"/>
        <v>0</v>
      </c>
      <c r="P12" s="8">
        <v>800</v>
      </c>
      <c r="Q12" s="11">
        <v>45853</v>
      </c>
      <c r="R12" s="12"/>
      <c r="S12" s="13">
        <f t="shared" si="2"/>
        <v>-0.66999999999995907</v>
      </c>
    </row>
    <row r="13" spans="1:19" x14ac:dyDescent="0.25">
      <c r="A13" s="6">
        <f>'[1]Cash Variance'!A14</f>
        <v>45850</v>
      </c>
      <c r="B13" s="7">
        <v>1591.19</v>
      </c>
      <c r="C13" s="7">
        <v>433.05</v>
      </c>
      <c r="D13" s="8">
        <v>127.52</v>
      </c>
      <c r="E13" s="8">
        <v>4</v>
      </c>
      <c r="F13" s="9">
        <f t="shared" si="3"/>
        <v>2155.7600000000002</v>
      </c>
      <c r="G13" s="8">
        <v>574.15</v>
      </c>
      <c r="H13" s="8">
        <f>1151.02-2.46</f>
        <v>1148.56</v>
      </c>
      <c r="I13" s="8">
        <v>0</v>
      </c>
      <c r="J13" s="8">
        <v>311.58</v>
      </c>
      <c r="K13" s="8">
        <v>39.99</v>
      </c>
      <c r="L13" s="8">
        <v>81.48</v>
      </c>
      <c r="M13" s="8">
        <v>0</v>
      </c>
      <c r="N13" s="10">
        <f t="shared" si="0"/>
        <v>2155.7599999999998</v>
      </c>
      <c r="O13" s="10">
        <f t="shared" si="1"/>
        <v>0</v>
      </c>
      <c r="P13" s="8">
        <v>374</v>
      </c>
      <c r="Q13" s="11">
        <v>45856</v>
      </c>
      <c r="R13" s="12"/>
      <c r="S13" s="13">
        <f t="shared" si="2"/>
        <v>-200.14999999999998</v>
      </c>
    </row>
    <row r="14" spans="1:19" x14ac:dyDescent="0.25">
      <c r="A14" s="6">
        <f>'[1]Cash Variance'!A15</f>
        <v>45851</v>
      </c>
      <c r="B14" s="7">
        <v>1393.07</v>
      </c>
      <c r="C14" s="7">
        <v>434.7</v>
      </c>
      <c r="D14" s="8">
        <v>111.65</v>
      </c>
      <c r="E14" s="8">
        <v>6</v>
      </c>
      <c r="F14" s="9">
        <f t="shared" si="3"/>
        <v>1945.42</v>
      </c>
      <c r="G14" s="8">
        <v>467.02</v>
      </c>
      <c r="H14" s="8">
        <f>1048.19-7</f>
        <v>1041.19</v>
      </c>
      <c r="I14" s="8">
        <v>0</v>
      </c>
      <c r="J14" s="8">
        <v>333.91</v>
      </c>
      <c r="K14" s="8">
        <v>13.13</v>
      </c>
      <c r="L14" s="8">
        <v>90.17</v>
      </c>
      <c r="M14" s="8">
        <v>0</v>
      </c>
      <c r="N14" s="10">
        <f t="shared" si="0"/>
        <v>1945.4200000000003</v>
      </c>
      <c r="O14" s="10">
        <f t="shared" si="1"/>
        <v>0</v>
      </c>
      <c r="P14" s="8">
        <v>347</v>
      </c>
      <c r="Q14" s="11">
        <v>45853</v>
      </c>
      <c r="R14" s="12">
        <f>-9.71-5.99-16.99-22.98-22.98-11.99-6.75-1.25-12.5</f>
        <v>-111.14</v>
      </c>
      <c r="S14" s="13">
        <f t="shared" si="2"/>
        <v>-8.8799999999999812</v>
      </c>
    </row>
    <row r="15" spans="1:19" x14ac:dyDescent="0.25">
      <c r="A15" s="6">
        <f>'[1]Cash Variance'!A16</f>
        <v>45852</v>
      </c>
      <c r="B15" s="7">
        <v>735.39</v>
      </c>
      <c r="C15" s="7">
        <v>144.78</v>
      </c>
      <c r="D15" s="8">
        <v>58.94</v>
      </c>
      <c r="E15" s="8">
        <v>7.94</v>
      </c>
      <c r="F15" s="9">
        <f t="shared" si="3"/>
        <v>947.05</v>
      </c>
      <c r="G15" s="8">
        <v>194.33</v>
      </c>
      <c r="H15" s="8">
        <v>620.52</v>
      </c>
      <c r="I15" s="8">
        <v>0</v>
      </c>
      <c r="J15" s="8">
        <v>121.23</v>
      </c>
      <c r="K15" s="8">
        <v>0</v>
      </c>
      <c r="L15" s="8">
        <v>10.97</v>
      </c>
      <c r="M15" s="8">
        <v>0</v>
      </c>
      <c r="N15" s="10">
        <f t="shared" si="0"/>
        <v>947.05000000000007</v>
      </c>
      <c r="O15" s="10">
        <f t="shared" si="1"/>
        <v>0</v>
      </c>
      <c r="P15" s="8">
        <v>194</v>
      </c>
      <c r="Q15" s="11">
        <v>45856</v>
      </c>
      <c r="R15" s="12"/>
      <c r="S15" s="13">
        <f t="shared" si="2"/>
        <v>-0.33000000000001251</v>
      </c>
    </row>
    <row r="16" spans="1:19" x14ac:dyDescent="0.25">
      <c r="A16" s="6">
        <f>'[1]Cash Variance'!A17</f>
        <v>45853</v>
      </c>
      <c r="B16" s="7">
        <v>1190.76</v>
      </c>
      <c r="C16" s="7">
        <v>296.47000000000003</v>
      </c>
      <c r="D16" s="8">
        <v>95.4</v>
      </c>
      <c r="E16" s="8">
        <v>3</v>
      </c>
      <c r="F16" s="9">
        <f t="shared" si="3"/>
        <v>1585.63</v>
      </c>
      <c r="G16" s="8">
        <v>512.6</v>
      </c>
      <c r="H16" s="8">
        <f>806-2.5</f>
        <v>803.5</v>
      </c>
      <c r="I16" s="8">
        <v>0</v>
      </c>
      <c r="J16" s="8">
        <v>202.27</v>
      </c>
      <c r="K16" s="8">
        <v>0</v>
      </c>
      <c r="L16" s="8">
        <v>67.260000000000005</v>
      </c>
      <c r="M16" s="8">
        <v>0</v>
      </c>
      <c r="N16" s="10">
        <f t="shared" si="0"/>
        <v>1585.6299999999999</v>
      </c>
      <c r="O16" s="10">
        <f t="shared" si="1"/>
        <v>0</v>
      </c>
      <c r="P16" s="8">
        <v>512</v>
      </c>
      <c r="Q16" s="11">
        <v>45856</v>
      </c>
      <c r="R16" s="12"/>
      <c r="S16" s="13">
        <f t="shared" si="2"/>
        <v>-0.60000000000002274</v>
      </c>
    </row>
    <row r="17" spans="1:19" x14ac:dyDescent="0.25">
      <c r="A17" s="6">
        <f>'[1]Cash Variance'!A18</f>
        <v>45854</v>
      </c>
      <c r="B17" s="7">
        <v>1419.13</v>
      </c>
      <c r="C17" s="7">
        <v>174.47</v>
      </c>
      <c r="D17" s="8">
        <v>113.74</v>
      </c>
      <c r="E17" s="8">
        <v>3</v>
      </c>
      <c r="F17" s="9">
        <f t="shared" si="3"/>
        <v>1710.3400000000001</v>
      </c>
      <c r="G17" s="8">
        <v>519.82000000000005</v>
      </c>
      <c r="H17" s="8">
        <v>1033.8399999999999</v>
      </c>
      <c r="I17" s="8">
        <v>0</v>
      </c>
      <c r="J17" s="8">
        <v>101.47</v>
      </c>
      <c r="K17" s="8">
        <v>0</v>
      </c>
      <c r="L17" s="8">
        <v>56.49</v>
      </c>
      <c r="M17" s="8">
        <v>0</v>
      </c>
      <c r="N17" s="10">
        <f t="shared" si="0"/>
        <v>1711.62</v>
      </c>
      <c r="O17" s="10">
        <f t="shared" si="1"/>
        <v>-1.2799999999997453</v>
      </c>
      <c r="P17" s="8">
        <v>519</v>
      </c>
      <c r="Q17" s="11">
        <v>45856</v>
      </c>
      <c r="R17" s="12"/>
      <c r="S17" s="13">
        <f t="shared" si="2"/>
        <v>-0.82000000000005002</v>
      </c>
    </row>
    <row r="18" spans="1:19" x14ac:dyDescent="0.25">
      <c r="A18" s="6">
        <f>'[1]Cash Variance'!A19</f>
        <v>45855</v>
      </c>
      <c r="B18" s="7">
        <v>1511.78</v>
      </c>
      <c r="C18" s="7">
        <v>426.55</v>
      </c>
      <c r="D18" s="8">
        <v>121.16</v>
      </c>
      <c r="E18" s="8">
        <v>2</v>
      </c>
      <c r="F18" s="9">
        <f t="shared" si="3"/>
        <v>2061.4899999999998</v>
      </c>
      <c r="G18" s="8">
        <v>447.59</v>
      </c>
      <c r="H18" s="8">
        <f>1212.73-7.48</f>
        <v>1205.25</v>
      </c>
      <c r="I18" s="8">
        <v>0</v>
      </c>
      <c r="J18" s="8">
        <v>253.86</v>
      </c>
      <c r="K18" s="8">
        <v>0</v>
      </c>
      <c r="L18" s="8">
        <v>154.79</v>
      </c>
      <c r="M18" s="8">
        <v>0</v>
      </c>
      <c r="N18" s="10">
        <f t="shared" si="0"/>
        <v>2061.4899999999998</v>
      </c>
      <c r="O18" s="10">
        <f t="shared" si="1"/>
        <v>0</v>
      </c>
      <c r="P18" s="8">
        <v>447</v>
      </c>
      <c r="Q18" s="11">
        <v>45863</v>
      </c>
      <c r="R18" s="12"/>
      <c r="S18" s="13">
        <f t="shared" si="2"/>
        <v>-0.58999999999997499</v>
      </c>
    </row>
    <row r="19" spans="1:19" x14ac:dyDescent="0.25">
      <c r="A19" s="6">
        <f>'[1]Cash Variance'!A20</f>
        <v>45856</v>
      </c>
      <c r="B19" s="7">
        <v>2462.7800000000002</v>
      </c>
      <c r="C19" s="7">
        <v>613.41999999999996</v>
      </c>
      <c r="D19" s="8">
        <v>197.38</v>
      </c>
      <c r="E19" s="8">
        <v>4</v>
      </c>
      <c r="F19" s="9">
        <f t="shared" si="3"/>
        <v>3277.5800000000004</v>
      </c>
      <c r="G19" s="8">
        <v>762.74</v>
      </c>
      <c r="H19" s="8">
        <f>1925.95-15</f>
        <v>1910.95</v>
      </c>
      <c r="I19" s="8">
        <v>0</v>
      </c>
      <c r="J19" s="8">
        <v>425.58</v>
      </c>
      <c r="K19" s="8">
        <v>0</v>
      </c>
      <c r="L19" s="8">
        <v>178.31</v>
      </c>
      <c r="M19" s="8">
        <v>0</v>
      </c>
      <c r="N19" s="10">
        <f t="shared" si="0"/>
        <v>3277.58</v>
      </c>
      <c r="O19" s="10">
        <f t="shared" si="1"/>
        <v>0</v>
      </c>
      <c r="P19" s="8">
        <v>762</v>
      </c>
      <c r="Q19" s="11">
        <v>45863</v>
      </c>
      <c r="R19" s="12"/>
      <c r="S19" s="13">
        <f t="shared" si="2"/>
        <v>-0.74000000000000909</v>
      </c>
    </row>
    <row r="20" spans="1:19" x14ac:dyDescent="0.25">
      <c r="A20" s="6">
        <f>'[1]Cash Variance'!A21</f>
        <v>45857</v>
      </c>
      <c r="B20" s="7">
        <v>1676.57</v>
      </c>
      <c r="C20" s="7">
        <v>382.16</v>
      </c>
      <c r="D20" s="8">
        <v>134.34</v>
      </c>
      <c r="E20" s="8">
        <v>1</v>
      </c>
      <c r="F20" s="9">
        <f t="shared" si="3"/>
        <v>2194.0700000000002</v>
      </c>
      <c r="G20" s="8">
        <v>588.72</v>
      </c>
      <c r="H20" s="8">
        <v>1220.25</v>
      </c>
      <c r="I20" s="8">
        <v>19.41</v>
      </c>
      <c r="J20" s="8">
        <v>247.84</v>
      </c>
      <c r="K20" s="8">
        <v>29.84</v>
      </c>
      <c r="L20" s="8">
        <v>88</v>
      </c>
      <c r="M20" s="8">
        <v>0</v>
      </c>
      <c r="N20" s="10">
        <f t="shared" si="0"/>
        <v>2194.0600000000004</v>
      </c>
      <c r="O20" s="10">
        <f t="shared" si="1"/>
        <v>9.9999999997635314E-3</v>
      </c>
      <c r="P20" s="8">
        <v>588.01</v>
      </c>
      <c r="Q20" s="11">
        <v>45863</v>
      </c>
      <c r="R20" s="12"/>
      <c r="S20" s="13">
        <f t="shared" si="2"/>
        <v>-0.71000000000003638</v>
      </c>
    </row>
    <row r="21" spans="1:19" x14ac:dyDescent="0.25">
      <c r="A21" s="6">
        <f>'[1]Cash Variance'!A22</f>
        <v>45858</v>
      </c>
      <c r="B21" s="7">
        <v>1565.98</v>
      </c>
      <c r="C21" s="7">
        <v>468.21</v>
      </c>
      <c r="D21" s="8">
        <v>125.49</v>
      </c>
      <c r="E21" s="8">
        <v>0</v>
      </c>
      <c r="F21" s="9">
        <f t="shared" si="3"/>
        <v>2159.6799999999998</v>
      </c>
      <c r="G21" s="8">
        <v>437.46</v>
      </c>
      <c r="H21" s="8">
        <v>1247.1500000000001</v>
      </c>
      <c r="I21" s="8">
        <v>22.11</v>
      </c>
      <c r="J21" s="8">
        <v>267.12</v>
      </c>
      <c r="K21" s="8">
        <v>35.35</v>
      </c>
      <c r="L21" s="8">
        <v>150.47</v>
      </c>
      <c r="M21" s="8">
        <v>0</v>
      </c>
      <c r="N21" s="10">
        <f t="shared" si="0"/>
        <v>2159.66</v>
      </c>
      <c r="O21" s="10">
        <f t="shared" si="1"/>
        <v>1.999999999998181E-2</v>
      </c>
      <c r="P21" s="8">
        <v>420</v>
      </c>
      <c r="Q21" s="11">
        <v>45868</v>
      </c>
      <c r="R21" s="12"/>
      <c r="S21" s="13">
        <f t="shared" si="2"/>
        <v>-17.45999999999998</v>
      </c>
    </row>
    <row r="22" spans="1:19" x14ac:dyDescent="0.25">
      <c r="A22" s="6">
        <f>'[1]Cash Variance'!A23</f>
        <v>45859</v>
      </c>
      <c r="B22" s="7">
        <v>891.13</v>
      </c>
      <c r="C22" s="7">
        <v>214.79</v>
      </c>
      <c r="D22" s="8">
        <v>71.42</v>
      </c>
      <c r="E22" s="8">
        <v>2</v>
      </c>
      <c r="F22" s="9">
        <f t="shared" si="3"/>
        <v>1179.3400000000001</v>
      </c>
      <c r="G22" s="8">
        <v>420.89</v>
      </c>
      <c r="H22" s="8">
        <v>533.04</v>
      </c>
      <c r="I22" s="8">
        <v>16.72</v>
      </c>
      <c r="J22" s="8">
        <v>189.19</v>
      </c>
      <c r="K22" s="8">
        <v>0</v>
      </c>
      <c r="L22" s="8">
        <v>19.5</v>
      </c>
      <c r="M22" s="8">
        <v>0</v>
      </c>
      <c r="N22" s="10">
        <f t="shared" si="0"/>
        <v>1179.3399999999999</v>
      </c>
      <c r="O22" s="10">
        <f t="shared" si="1"/>
        <v>0</v>
      </c>
      <c r="P22" s="8">
        <v>420</v>
      </c>
      <c r="Q22" s="11">
        <v>45863</v>
      </c>
      <c r="R22" s="12"/>
      <c r="S22" s="13">
        <f t="shared" si="2"/>
        <v>-0.88999999999998636</v>
      </c>
    </row>
    <row r="23" spans="1:19" x14ac:dyDescent="0.25">
      <c r="A23" s="6">
        <f>'[1]Cash Variance'!A24</f>
        <v>45860</v>
      </c>
      <c r="B23" s="7">
        <v>1101.31</v>
      </c>
      <c r="C23" s="7">
        <v>17.5</v>
      </c>
      <c r="D23" s="8">
        <v>88.25</v>
      </c>
      <c r="E23" s="8">
        <v>0</v>
      </c>
      <c r="F23" s="9">
        <f t="shared" si="3"/>
        <v>1207.06</v>
      </c>
      <c r="G23" s="8">
        <v>453.44</v>
      </c>
      <c r="H23" s="8">
        <v>746.61</v>
      </c>
      <c r="I23" s="8">
        <v>7.01</v>
      </c>
      <c r="J23" s="8">
        <v>0</v>
      </c>
      <c r="K23" s="8">
        <v>0</v>
      </c>
      <c r="L23" s="8">
        <v>0</v>
      </c>
      <c r="M23" s="8">
        <v>0</v>
      </c>
      <c r="N23" s="10">
        <f t="shared" si="0"/>
        <v>1207.06</v>
      </c>
      <c r="O23" s="10">
        <f t="shared" si="1"/>
        <v>0</v>
      </c>
      <c r="P23" s="8">
        <v>225.137</v>
      </c>
      <c r="Q23" s="11">
        <v>45863</v>
      </c>
      <c r="R23" s="12">
        <v>-205</v>
      </c>
      <c r="S23" s="13">
        <f t="shared" si="2"/>
        <v>-23.302999999999997</v>
      </c>
    </row>
    <row r="24" spans="1:19" x14ac:dyDescent="0.25">
      <c r="A24" s="6">
        <f>'[1]Cash Variance'!A25</f>
        <v>45861</v>
      </c>
      <c r="B24" s="7">
        <v>1249.24</v>
      </c>
      <c r="C24" s="7">
        <v>299.33</v>
      </c>
      <c r="D24" s="8">
        <v>100.11</v>
      </c>
      <c r="E24" s="8">
        <v>0</v>
      </c>
      <c r="F24" s="9">
        <f t="shared" si="3"/>
        <v>1648.6799999999998</v>
      </c>
      <c r="G24" s="8">
        <v>354.91</v>
      </c>
      <c r="H24" s="8">
        <v>1015.4</v>
      </c>
      <c r="I24" s="8">
        <v>8.09</v>
      </c>
      <c r="J24" s="8">
        <v>217.25</v>
      </c>
      <c r="K24" s="8">
        <v>0</v>
      </c>
      <c r="L24" s="8">
        <v>53.02</v>
      </c>
      <c r="M24" s="8">
        <v>0</v>
      </c>
      <c r="N24" s="10">
        <f t="shared" si="0"/>
        <v>1648.6699999999998</v>
      </c>
      <c r="O24" s="10">
        <f t="shared" si="1"/>
        <v>9.9999999999909051E-3</v>
      </c>
      <c r="P24" s="8">
        <v>298</v>
      </c>
      <c r="Q24" s="11">
        <v>45868</v>
      </c>
      <c r="R24" s="12"/>
      <c r="S24" s="13">
        <f t="shared" si="2"/>
        <v>-56.910000000000025</v>
      </c>
    </row>
    <row r="25" spans="1:19" x14ac:dyDescent="0.25">
      <c r="A25" s="6">
        <f>'[1]Cash Variance'!A26</f>
        <v>45862</v>
      </c>
      <c r="B25" s="7">
        <v>1418.16</v>
      </c>
      <c r="C25" s="7">
        <v>341.85</v>
      </c>
      <c r="D25" s="8">
        <v>113.67</v>
      </c>
      <c r="E25" s="8">
        <v>0</v>
      </c>
      <c r="F25" s="9">
        <f t="shared" si="3"/>
        <v>1873.6800000000003</v>
      </c>
      <c r="G25" s="8">
        <v>388.56</v>
      </c>
      <c r="H25" s="8">
        <v>1148.4100000000001</v>
      </c>
      <c r="I25" s="8">
        <v>0</v>
      </c>
      <c r="J25" s="8">
        <v>269.02999999999997</v>
      </c>
      <c r="K25" s="8">
        <v>20.309999999999999</v>
      </c>
      <c r="L25" s="8">
        <v>47.36</v>
      </c>
      <c r="M25" s="8">
        <v>0</v>
      </c>
      <c r="N25" s="10">
        <f t="shared" si="0"/>
        <v>1873.6699999999998</v>
      </c>
      <c r="O25" s="10">
        <f t="shared" si="1"/>
        <v>1.0000000000445652E-2</v>
      </c>
      <c r="P25" s="8">
        <v>137</v>
      </c>
      <c r="Q25" s="11">
        <v>45863</v>
      </c>
      <c r="R25" s="12"/>
      <c r="S25" s="13">
        <f t="shared" si="2"/>
        <v>-251.56</v>
      </c>
    </row>
    <row r="26" spans="1:19" x14ac:dyDescent="0.25">
      <c r="A26" s="6">
        <f>'[1]Cash Variance'!A27</f>
        <v>45863</v>
      </c>
      <c r="B26" s="8">
        <v>2347.1</v>
      </c>
      <c r="C26" s="8">
        <v>516.38</v>
      </c>
      <c r="D26" s="8">
        <v>188.05</v>
      </c>
      <c r="E26" s="8">
        <v>8.01</v>
      </c>
      <c r="F26" s="9">
        <f>SUM(B26:E26)</f>
        <v>3059.5400000000004</v>
      </c>
      <c r="G26" s="8">
        <v>660.66</v>
      </c>
      <c r="H26" s="8">
        <v>1892.39</v>
      </c>
      <c r="I26" s="8">
        <v>0</v>
      </c>
      <c r="J26" s="8">
        <v>459.42</v>
      </c>
      <c r="K26" s="8">
        <v>21.48</v>
      </c>
      <c r="L26" s="8">
        <v>25.59</v>
      </c>
      <c r="M26" s="8">
        <v>0</v>
      </c>
      <c r="N26" s="10">
        <f t="shared" si="0"/>
        <v>3059.5400000000004</v>
      </c>
      <c r="O26" s="10">
        <f t="shared" si="1"/>
        <v>0</v>
      </c>
      <c r="P26" s="8">
        <v>660</v>
      </c>
      <c r="Q26" s="11">
        <v>45868</v>
      </c>
      <c r="R26" s="12"/>
      <c r="S26" s="13">
        <f t="shared" si="2"/>
        <v>-0.65999999999996817</v>
      </c>
    </row>
    <row r="27" spans="1:19" x14ac:dyDescent="0.25">
      <c r="A27" s="6">
        <f>'[1]Cash Variance'!A28</f>
        <v>45864</v>
      </c>
      <c r="B27" s="7">
        <v>1778.59</v>
      </c>
      <c r="C27" s="7">
        <v>346.45</v>
      </c>
      <c r="D27" s="8">
        <v>142.49</v>
      </c>
      <c r="E27" s="8">
        <v>0</v>
      </c>
      <c r="F27" s="9">
        <f t="shared" si="3"/>
        <v>2267.5299999999997</v>
      </c>
      <c r="G27" s="8">
        <v>635.64</v>
      </c>
      <c r="H27" s="8">
        <v>1269.26</v>
      </c>
      <c r="I27" s="8">
        <v>16.18</v>
      </c>
      <c r="J27" s="8">
        <v>240.06</v>
      </c>
      <c r="K27" s="8">
        <v>41.19</v>
      </c>
      <c r="L27" s="8">
        <v>65.2</v>
      </c>
      <c r="M27" s="8">
        <v>0</v>
      </c>
      <c r="N27" s="10">
        <f t="shared" si="0"/>
        <v>2267.5300000000002</v>
      </c>
      <c r="O27" s="10">
        <f t="shared" si="1"/>
        <v>0</v>
      </c>
      <c r="P27" s="8">
        <v>635</v>
      </c>
      <c r="Q27" s="11">
        <v>45868</v>
      </c>
      <c r="R27" s="12"/>
      <c r="S27" s="13">
        <f t="shared" si="2"/>
        <v>-0.63999999999998636</v>
      </c>
    </row>
    <row r="28" spans="1:19" x14ac:dyDescent="0.25">
      <c r="A28" s="6">
        <f>'[1]Cash Variance'!A29</f>
        <v>45865</v>
      </c>
      <c r="B28" s="7">
        <v>1523.33</v>
      </c>
      <c r="C28" s="7">
        <v>277.79000000000002</v>
      </c>
      <c r="D28" s="8">
        <v>122.05</v>
      </c>
      <c r="E28" s="8">
        <v>5</v>
      </c>
      <c r="F28" s="9">
        <f t="shared" si="3"/>
        <v>1928.1699999999998</v>
      </c>
      <c r="G28" s="8">
        <v>315.64</v>
      </c>
      <c r="H28" s="8">
        <v>1309.3800000000001</v>
      </c>
      <c r="I28" s="8">
        <v>25.35</v>
      </c>
      <c r="J28" s="8">
        <v>157.6</v>
      </c>
      <c r="K28" s="8">
        <v>33.44</v>
      </c>
      <c r="L28" s="8">
        <v>86.75</v>
      </c>
      <c r="M28" s="8">
        <v>0</v>
      </c>
      <c r="N28" s="10">
        <f t="shared" si="0"/>
        <v>1928.1599999999999</v>
      </c>
      <c r="O28" s="10">
        <f t="shared" si="1"/>
        <v>9.9999999999909051E-3</v>
      </c>
      <c r="P28" s="8">
        <v>315</v>
      </c>
      <c r="Q28" s="11">
        <v>45868</v>
      </c>
      <c r="R28" s="12"/>
      <c r="S28" s="13">
        <f t="shared" si="2"/>
        <v>-0.63999999999998636</v>
      </c>
    </row>
    <row r="29" spans="1:19" x14ac:dyDescent="0.25">
      <c r="A29" s="6">
        <f>'[1]Cash Variance'!A30</f>
        <v>45866</v>
      </c>
      <c r="B29" s="7">
        <v>850.79</v>
      </c>
      <c r="C29" s="7">
        <v>183.71</v>
      </c>
      <c r="D29" s="8">
        <v>68.150000000000006</v>
      </c>
      <c r="E29" s="8">
        <v>0</v>
      </c>
      <c r="F29" s="9">
        <f t="shared" si="3"/>
        <v>1102.6500000000001</v>
      </c>
      <c r="G29" s="8">
        <v>402.95</v>
      </c>
      <c r="H29" s="8">
        <v>505.97</v>
      </c>
      <c r="I29" s="8">
        <v>10.02</v>
      </c>
      <c r="J29" s="8">
        <v>123.34</v>
      </c>
      <c r="K29" s="8">
        <v>10.15</v>
      </c>
      <c r="L29" s="8">
        <v>50.22</v>
      </c>
      <c r="M29" s="8">
        <v>0</v>
      </c>
      <c r="N29" s="10">
        <f t="shared" si="0"/>
        <v>1102.6500000000001</v>
      </c>
      <c r="O29" s="10">
        <f t="shared" si="1"/>
        <v>0</v>
      </c>
      <c r="P29" s="8"/>
      <c r="Q29" s="11"/>
      <c r="R29" s="12"/>
      <c r="S29" s="13">
        <f t="shared" si="2"/>
        <v>-402.95</v>
      </c>
    </row>
    <row r="30" spans="1:19" x14ac:dyDescent="0.25">
      <c r="A30" s="6">
        <f>'[1]Cash Variance'!A31</f>
        <v>45867</v>
      </c>
      <c r="B30" s="7">
        <v>1475.2</v>
      </c>
      <c r="C30" s="7">
        <v>245.83</v>
      </c>
      <c r="D30" s="8">
        <v>118.21</v>
      </c>
      <c r="E30" s="8">
        <v>0</v>
      </c>
      <c r="F30" s="9">
        <f t="shared" si="3"/>
        <v>1839.24</v>
      </c>
      <c r="G30" s="8">
        <v>496.83</v>
      </c>
      <c r="H30" s="8">
        <v>1096.57</v>
      </c>
      <c r="I30" s="8">
        <v>0</v>
      </c>
      <c r="J30" s="8">
        <v>154.65</v>
      </c>
      <c r="K30" s="8">
        <v>41.59</v>
      </c>
      <c r="L30" s="8">
        <v>49.59</v>
      </c>
      <c r="M30" s="8">
        <v>0</v>
      </c>
      <c r="N30" s="16">
        <f t="shared" si="0"/>
        <v>1839.2299999999998</v>
      </c>
      <c r="O30" s="10">
        <f t="shared" si="1"/>
        <v>1.0000000000218279E-2</v>
      </c>
      <c r="P30" s="17"/>
      <c r="Q30" s="11"/>
      <c r="R30" s="12"/>
      <c r="S30" s="13">
        <f t="shared" si="2"/>
        <v>-496.83</v>
      </c>
    </row>
    <row r="31" spans="1:19" x14ac:dyDescent="0.25">
      <c r="A31" s="6">
        <f>'[1]Cash Variance'!A32</f>
        <v>45868</v>
      </c>
      <c r="B31" s="7">
        <v>1583.41</v>
      </c>
      <c r="C31" s="7">
        <v>421.42</v>
      </c>
      <c r="D31" s="8">
        <v>126.88</v>
      </c>
      <c r="E31" s="8">
        <v>2.2000000000000002</v>
      </c>
      <c r="F31" s="9">
        <f t="shared" si="3"/>
        <v>2133.91</v>
      </c>
      <c r="G31" s="8">
        <v>560.86</v>
      </c>
      <c r="H31" s="8">
        <v>1163.82</v>
      </c>
      <c r="I31" s="8">
        <v>0</v>
      </c>
      <c r="J31" s="8">
        <v>297.45999999999998</v>
      </c>
      <c r="K31" s="8">
        <v>0</v>
      </c>
      <c r="L31" s="8">
        <v>114.26</v>
      </c>
      <c r="M31" s="18">
        <v>0</v>
      </c>
      <c r="N31" s="19">
        <f t="shared" si="0"/>
        <v>2136.4</v>
      </c>
      <c r="O31" s="10">
        <f t="shared" si="1"/>
        <v>-2.4900000000002365</v>
      </c>
      <c r="P31" s="15"/>
      <c r="Q31" s="11"/>
      <c r="R31" s="12"/>
      <c r="S31" s="13">
        <f t="shared" si="2"/>
        <v>-560.86</v>
      </c>
    </row>
    <row r="32" spans="1:19" ht="15.75" thickBot="1" x14ac:dyDescent="0.3">
      <c r="A32" s="6">
        <f>'[1]Cash Variance'!A33</f>
        <v>45869</v>
      </c>
      <c r="B32" s="20">
        <v>1922.69</v>
      </c>
      <c r="C32" s="20">
        <v>567.19000000000005</v>
      </c>
      <c r="D32" s="21">
        <v>154.07</v>
      </c>
      <c r="E32" s="21">
        <v>10.29</v>
      </c>
      <c r="F32" s="9">
        <f t="shared" si="3"/>
        <v>2654.2400000000002</v>
      </c>
      <c r="G32" s="21">
        <v>520.01</v>
      </c>
      <c r="H32" s="21">
        <v>1584.99</v>
      </c>
      <c r="I32" s="21">
        <v>0</v>
      </c>
      <c r="J32" s="21">
        <v>373.3</v>
      </c>
      <c r="K32" s="21">
        <v>0</v>
      </c>
      <c r="L32" s="21">
        <v>184.6</v>
      </c>
      <c r="M32" s="22">
        <v>0</v>
      </c>
      <c r="N32" s="19">
        <f t="shared" si="0"/>
        <v>2662.9</v>
      </c>
      <c r="O32" s="10">
        <f t="shared" si="1"/>
        <v>-8.6599999999998545</v>
      </c>
      <c r="P32" s="23"/>
      <c r="Q32" s="11"/>
      <c r="R32" s="12"/>
      <c r="S32" s="13">
        <f t="shared" si="2"/>
        <v>-520.01</v>
      </c>
    </row>
    <row r="33" spans="1:19" ht="15.75" thickBot="1" x14ac:dyDescent="0.3">
      <c r="A33" s="24" t="s">
        <v>8</v>
      </c>
      <c r="B33" s="25">
        <f t="shared" ref="B33:M33" si="4">SUM(B2:B32)</f>
        <v>46380.01</v>
      </c>
      <c r="C33" s="25">
        <f>SUM(C2:C32)</f>
        <v>10519.830000000002</v>
      </c>
      <c r="D33" s="25">
        <f>SUM(D2:D32)</f>
        <v>3716.8200000000015</v>
      </c>
      <c r="E33" s="25">
        <f>SUM(E2:E32)</f>
        <v>90.210000000000008</v>
      </c>
      <c r="F33" s="9">
        <f>SUM(B33:E33)</f>
        <v>60706.87</v>
      </c>
      <c r="G33" s="25">
        <f>SUM(G2:G32)</f>
        <v>14952.179999999998</v>
      </c>
      <c r="H33" s="25">
        <f>SUM(H2:H32)</f>
        <v>35162.990000000005</v>
      </c>
      <c r="I33" s="25">
        <f t="shared" si="4"/>
        <v>295.02999999999997</v>
      </c>
      <c r="J33" s="25">
        <f>SUM(J2:J32)</f>
        <v>7003.41</v>
      </c>
      <c r="K33" s="25">
        <f t="shared" si="4"/>
        <v>559.24</v>
      </c>
      <c r="L33" s="25">
        <f>SUM(L2:L32)</f>
        <v>2746.36</v>
      </c>
      <c r="M33" s="25">
        <f t="shared" si="4"/>
        <v>0</v>
      </c>
      <c r="N33" s="26">
        <f>SUM(N2:N32)</f>
        <v>60719.209999999992</v>
      </c>
      <c r="O33" s="26">
        <f t="shared" ref="O33:R33" si="5">SUM(O2:O32)</f>
        <v>-12.339999999999236</v>
      </c>
      <c r="P33" s="25">
        <f>SUM(P2:P32)</f>
        <v>11818.147000000001</v>
      </c>
      <c r="Q33" s="25"/>
      <c r="R33" s="25">
        <f t="shared" si="5"/>
        <v>-576.14</v>
      </c>
      <c r="S33" s="26">
        <f>SUM(S2:S32)</f>
        <v>-2557.893</v>
      </c>
    </row>
    <row r="34" spans="1:19" x14ac:dyDescent="0.25">
      <c r="A34" s="27" t="s">
        <v>0</v>
      </c>
      <c r="B34" s="28">
        <f>+B33</f>
        <v>46380.01</v>
      </c>
      <c r="C34" s="28">
        <f>+C33</f>
        <v>10519.830000000002</v>
      </c>
      <c r="D34" s="28">
        <f>+D33</f>
        <v>3716.8200000000015</v>
      </c>
      <c r="E34" s="28">
        <f>+E33</f>
        <v>90.210000000000008</v>
      </c>
      <c r="F34" s="27"/>
      <c r="G34" s="28">
        <f>+G33</f>
        <v>14952.179999999998</v>
      </c>
      <c r="H34" s="27"/>
      <c r="I34" s="27"/>
      <c r="J34" s="28">
        <f>+J33</f>
        <v>7003.41</v>
      </c>
      <c r="K34" s="28">
        <f>+K33</f>
        <v>559.24</v>
      </c>
      <c r="L34" s="28">
        <f>+L33</f>
        <v>2746.36</v>
      </c>
      <c r="M34" s="28">
        <f>+M33</f>
        <v>0</v>
      </c>
      <c r="N34" s="27"/>
      <c r="O34" s="27"/>
      <c r="P34" s="27"/>
      <c r="Q34" s="29"/>
      <c r="R34" s="27"/>
    </row>
    <row r="35" spans="1:19" x14ac:dyDescent="0.25">
      <c r="A35" s="30" t="s">
        <v>9</v>
      </c>
      <c r="B35" s="31">
        <f>+B33</f>
        <v>46380.01</v>
      </c>
      <c r="C35" s="31">
        <f>+C33</f>
        <v>10519.830000000002</v>
      </c>
      <c r="D35" s="31">
        <f>+D33</f>
        <v>3716.8200000000015</v>
      </c>
      <c r="E35" s="31">
        <f>+E33</f>
        <v>90.210000000000008</v>
      </c>
      <c r="F35" s="30"/>
      <c r="G35" s="30"/>
      <c r="H35" s="30"/>
      <c r="I35" s="30"/>
      <c r="J35" s="31">
        <f>+J33</f>
        <v>7003.41</v>
      </c>
      <c r="K35" s="31">
        <f>+K33</f>
        <v>559.24</v>
      </c>
      <c r="L35" s="31">
        <f>+L33</f>
        <v>2746.36</v>
      </c>
      <c r="M35" s="31">
        <f>+M33</f>
        <v>0</v>
      </c>
      <c r="N35" s="30"/>
      <c r="O35" s="30"/>
      <c r="P35" s="32"/>
      <c r="Q35" s="33"/>
      <c r="R35" s="34"/>
    </row>
    <row r="36" spans="1:19" x14ac:dyDescent="0.25">
      <c r="A36" s="30"/>
      <c r="B36" s="30"/>
      <c r="C36" s="30"/>
      <c r="D36" s="30"/>
      <c r="E36" s="30"/>
      <c r="F36" s="30"/>
      <c r="G36" s="30"/>
      <c r="H36" s="42" t="s">
        <v>10</v>
      </c>
      <c r="I36" s="42"/>
      <c r="J36" s="36">
        <v>8684.5400000000009</v>
      </c>
      <c r="K36" s="35">
        <f>624.61-42.8</f>
        <v>581.81000000000006</v>
      </c>
      <c r="L36" s="35">
        <f>3552.55</f>
        <v>3552.55</v>
      </c>
      <c r="M36" s="30"/>
      <c r="N36" s="30"/>
      <c r="O36" s="30"/>
      <c r="P36" s="32"/>
      <c r="Q36" s="33"/>
      <c r="R36" s="34"/>
    </row>
    <row r="37" spans="1:19" x14ac:dyDescent="0.25">
      <c r="A37" s="30"/>
      <c r="B37" s="30"/>
      <c r="C37" s="30"/>
      <c r="D37" s="30"/>
      <c r="E37" s="30"/>
      <c r="F37" s="30"/>
      <c r="G37" s="30"/>
      <c r="H37" s="42" t="s">
        <v>11</v>
      </c>
      <c r="I37" s="42"/>
      <c r="J37" s="37">
        <f>+J36-J33</f>
        <v>1681.130000000001</v>
      </c>
      <c r="K37" s="38">
        <f>+K36-K33</f>
        <v>22.57000000000005</v>
      </c>
      <c r="L37" s="38">
        <f>+L36-L33</f>
        <v>806.19</v>
      </c>
      <c r="M37" s="30"/>
      <c r="N37" s="30"/>
      <c r="O37" s="30"/>
      <c r="P37" s="30"/>
      <c r="Q37" s="30"/>
      <c r="R37" s="30"/>
    </row>
    <row r="38" spans="1:19" x14ac:dyDescent="0.25">
      <c r="A38" s="30"/>
      <c r="B38" s="30" t="s">
        <v>12</v>
      </c>
      <c r="C38" s="30"/>
      <c r="D38" s="30"/>
      <c r="E38" s="30"/>
      <c r="F38" s="30"/>
      <c r="G38" s="30"/>
      <c r="H38" s="42" t="s">
        <v>13</v>
      </c>
      <c r="I38" s="42"/>
      <c r="J38" s="36">
        <v>-1491.63</v>
      </c>
      <c r="K38" s="35">
        <v>-57.99</v>
      </c>
      <c r="L38" s="35">
        <f>-583.79+162.9</f>
        <v>-420.89</v>
      </c>
      <c r="M38" s="30"/>
      <c r="N38" s="30"/>
      <c r="O38" s="30"/>
      <c r="P38" s="30"/>
      <c r="Q38" s="30"/>
      <c r="R38" s="30"/>
    </row>
    <row r="39" spans="1:19" x14ac:dyDescent="0.25">
      <c r="A39" s="30"/>
      <c r="B39" s="30"/>
      <c r="C39" s="30"/>
      <c r="D39" s="30"/>
      <c r="E39" s="30"/>
      <c r="F39" s="30"/>
      <c r="G39" s="30"/>
      <c r="H39" s="42" t="s">
        <v>14</v>
      </c>
      <c r="I39" s="42"/>
      <c r="J39" s="36">
        <v>-1674.18</v>
      </c>
      <c r="K39" s="35">
        <f>-53.12-17.04</f>
        <v>-70.16</v>
      </c>
      <c r="L39" s="35">
        <v>-712.59</v>
      </c>
      <c r="M39" s="30"/>
      <c r="N39" s="30"/>
      <c r="O39" s="30"/>
      <c r="P39" s="30"/>
      <c r="Q39" s="30"/>
      <c r="R39" s="30"/>
    </row>
    <row r="40" spans="1:19" x14ac:dyDescent="0.25">
      <c r="A40" s="30"/>
      <c r="B40" s="30"/>
      <c r="C40" s="30"/>
      <c r="D40" s="30"/>
      <c r="E40" s="30"/>
      <c r="F40" s="30"/>
      <c r="G40" s="30"/>
      <c r="H40" s="42" t="s">
        <v>15</v>
      </c>
      <c r="I40" s="42"/>
      <c r="J40" s="36">
        <v>-296.14</v>
      </c>
      <c r="K40" s="35">
        <v>-30.01</v>
      </c>
      <c r="L40" s="35">
        <v>-28.98</v>
      </c>
      <c r="M40" s="30"/>
      <c r="N40" s="30"/>
      <c r="O40" s="30"/>
      <c r="P40" s="30"/>
      <c r="Q40" s="30"/>
      <c r="R40" s="30"/>
    </row>
    <row r="41" spans="1:19" ht="15.75" thickBot="1" x14ac:dyDescent="0.3">
      <c r="A41" s="30"/>
      <c r="B41" s="30"/>
      <c r="C41" s="30"/>
      <c r="D41" s="30"/>
      <c r="E41" s="30"/>
      <c r="F41" s="30"/>
      <c r="G41" s="30"/>
      <c r="H41" s="43" t="s">
        <v>16</v>
      </c>
      <c r="I41" s="43"/>
      <c r="J41" s="39">
        <f>+J36+J38+J39+J40</f>
        <v>5222.59</v>
      </c>
      <c r="K41" s="40">
        <f>+K36+K38+K39+K40</f>
        <v>423.65000000000009</v>
      </c>
      <c r="L41" s="40">
        <f>+L36+L38+L39+L40</f>
        <v>2390.09</v>
      </c>
      <c r="M41" s="30"/>
      <c r="N41" s="30"/>
      <c r="O41" s="30"/>
      <c r="P41" s="30"/>
      <c r="Q41" s="30"/>
      <c r="R41" s="30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2025-10-08T07:20:01Z</dcterms:modified>
</cp:coreProperties>
</file>