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F557503-C784-4C0E-88DF-6CCB705D3F3C}" xr6:coauthVersionLast="47" xr6:coauthVersionMax="47" xr10:uidLastSave="{00000000-0000-0000-0000-000000000000}"/>
  <bookViews>
    <workbookView xWindow="-120" yWindow="-120" windowWidth="20730" windowHeight="11040" xr2:uid="{1BC1085A-9331-4D41-8135-17C66599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P33" i="1"/>
  <c r="L33" i="1"/>
  <c r="L34" i="1" s="1"/>
  <c r="K33" i="1"/>
  <c r="K34" i="1" s="1"/>
  <c r="J33" i="1"/>
  <c r="J34" i="1" s="1"/>
  <c r="G33" i="1"/>
  <c r="G34" i="1" s="1"/>
  <c r="D33" i="1"/>
  <c r="D34" i="1" s="1"/>
  <c r="C33" i="1"/>
  <c r="C34" i="1" s="1"/>
  <c r="B33" i="1"/>
  <c r="B34" i="1" s="1"/>
  <c r="H2" i="1"/>
  <c r="N2" i="1" s="1"/>
  <c r="F2" i="1"/>
  <c r="A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R33" i="1"/>
  <c r="M33" i="1"/>
  <c r="M34" i="1" s="1"/>
  <c r="I33" i="1"/>
  <c r="E33" i="1"/>
  <c r="E34" i="1" s="1"/>
  <c r="S32" i="1"/>
  <c r="H32" i="1"/>
  <c r="N32" i="1" s="1"/>
  <c r="F32" i="1"/>
  <c r="O32" i="1" s="1"/>
  <c r="S31" i="1"/>
  <c r="H31" i="1"/>
  <c r="N31" i="1" s="1"/>
  <c r="F31" i="1"/>
  <c r="S30" i="1"/>
  <c r="N30" i="1"/>
  <c r="F30" i="1"/>
  <c r="O30" i="1" s="1"/>
  <c r="S29" i="1"/>
  <c r="N29" i="1"/>
  <c r="F29" i="1"/>
  <c r="S28" i="1"/>
  <c r="H28" i="1"/>
  <c r="N28" i="1" s="1"/>
  <c r="F28" i="1"/>
  <c r="S27" i="1"/>
  <c r="H27" i="1"/>
  <c r="N27" i="1" s="1"/>
  <c r="F27" i="1"/>
  <c r="S26" i="1"/>
  <c r="H26" i="1"/>
  <c r="N26" i="1" s="1"/>
  <c r="F26" i="1"/>
  <c r="S25" i="1"/>
  <c r="H25" i="1"/>
  <c r="N25" i="1" s="1"/>
  <c r="F25" i="1"/>
  <c r="H24" i="1"/>
  <c r="N24" i="1" s="1"/>
  <c r="F24" i="1"/>
  <c r="S23" i="1"/>
  <c r="H23" i="1"/>
  <c r="N23" i="1" s="1"/>
  <c r="F23" i="1"/>
  <c r="S22" i="1"/>
  <c r="H22" i="1"/>
  <c r="N22" i="1" s="1"/>
  <c r="F22" i="1"/>
  <c r="S21" i="1"/>
  <c r="N21" i="1"/>
  <c r="F21" i="1"/>
  <c r="O21" i="1" s="1"/>
  <c r="S20" i="1"/>
  <c r="H20" i="1"/>
  <c r="N20" i="1" s="1"/>
  <c r="F20" i="1"/>
  <c r="S19" i="1"/>
  <c r="H19" i="1"/>
  <c r="N19" i="1" s="1"/>
  <c r="F19" i="1"/>
  <c r="S18" i="1"/>
  <c r="H18" i="1"/>
  <c r="N18" i="1" s="1"/>
  <c r="F18" i="1"/>
  <c r="S17" i="1"/>
  <c r="H17" i="1"/>
  <c r="N17" i="1" s="1"/>
  <c r="F17" i="1"/>
  <c r="S16" i="1"/>
  <c r="H16" i="1"/>
  <c r="N16" i="1" s="1"/>
  <c r="F16" i="1"/>
  <c r="S15" i="1"/>
  <c r="H15" i="1"/>
  <c r="N15" i="1" s="1"/>
  <c r="F15" i="1"/>
  <c r="S14" i="1"/>
  <c r="H14" i="1"/>
  <c r="N14" i="1" s="1"/>
  <c r="F14" i="1"/>
  <c r="S13" i="1"/>
  <c r="H13" i="1"/>
  <c r="N13" i="1" s="1"/>
  <c r="F13" i="1"/>
  <c r="S12" i="1"/>
  <c r="H12" i="1"/>
  <c r="N12" i="1" s="1"/>
  <c r="F12" i="1"/>
  <c r="S11" i="1"/>
  <c r="H11" i="1"/>
  <c r="N11" i="1" s="1"/>
  <c r="F11" i="1"/>
  <c r="S10" i="1"/>
  <c r="H10" i="1"/>
  <c r="N10" i="1" s="1"/>
  <c r="F10" i="1"/>
  <c r="S9" i="1"/>
  <c r="H9" i="1"/>
  <c r="N9" i="1" s="1"/>
  <c r="F9" i="1"/>
  <c r="S8" i="1"/>
  <c r="H8" i="1"/>
  <c r="N8" i="1" s="1"/>
  <c r="F8" i="1"/>
  <c r="S7" i="1"/>
  <c r="H7" i="1"/>
  <c r="N7" i="1" s="1"/>
  <c r="F7" i="1"/>
  <c r="S6" i="1"/>
  <c r="H6" i="1"/>
  <c r="N6" i="1" s="1"/>
  <c r="F6" i="1"/>
  <c r="S5" i="1"/>
  <c r="H5" i="1"/>
  <c r="N5" i="1" s="1"/>
  <c r="F5" i="1"/>
  <c r="S4" i="1"/>
  <c r="H4" i="1"/>
  <c r="N4" i="1" s="1"/>
  <c r="F4" i="1"/>
  <c r="S3" i="1"/>
  <c r="H3" i="1"/>
  <c r="N3" i="1" s="1"/>
  <c r="F3" i="1"/>
  <c r="S2" i="1"/>
  <c r="O10" i="1" l="1"/>
  <c r="O16" i="1"/>
  <c r="O15" i="1"/>
  <c r="O7" i="1"/>
  <c r="O9" i="1"/>
  <c r="O18" i="1"/>
  <c r="F33" i="1"/>
  <c r="O8" i="1"/>
  <c r="O6" i="1"/>
  <c r="O26" i="1"/>
  <c r="S33" i="1"/>
  <c r="O14" i="1"/>
  <c r="O22" i="1"/>
  <c r="O12" i="1"/>
  <c r="N33" i="1"/>
  <c r="H33" i="1"/>
  <c r="O17" i="1"/>
  <c r="O19" i="1"/>
  <c r="O28" i="1"/>
  <c r="O27" i="1"/>
  <c r="O29" i="1"/>
  <c r="O4" i="1"/>
  <c r="O24" i="1"/>
  <c r="O11" i="1"/>
  <c r="O31" i="1"/>
  <c r="O23" i="1"/>
  <c r="O13" i="1"/>
  <c r="O2" i="1"/>
  <c r="O5" i="1"/>
  <c r="O20" i="1"/>
  <c r="O25" i="1"/>
  <c r="O3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tc={D8E9AF5F-6C19-467A-85D4-ABC75ADB7A2A}</author>
  </authors>
  <commentList>
    <comment ref="R20" authorId="0" shapeId="0" xr:uid="{6964F98D-191A-4207-8C19-8F9BCA04087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miter replacement 
</t>
        </r>
      </text>
    </comment>
  </commentList>
</comments>
</file>

<file path=xl/sharedStrings.xml><?xml version="1.0" encoding="utf-8"?>
<sst xmlns="http://schemas.openxmlformats.org/spreadsheetml/2006/main" count="22" uniqueCount="22">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</sst>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0" fontId="4" fillId="0" borderId="0" xfId="0" applyFont="1"/>
    <xf numFmtId="14" fontId="4" fillId="0" borderId="12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EC1C-799B-4549-9F87-FEE576ECE834}">
  <dimension ref="A1:S35"/>
  <sheetViews>
    <sheetView tabSelected="1" zoomScale="73" workbookViewId="0"/>
  </sheetViews>
  <sheetFormatPr defaultRowHeight="15" x14ac:dyDescent="0.25"/>
  <cols>
    <col min="1" max="1" width="14.28515625" customWidth="1"/>
    <col min="2" max="2" width="17.140625" customWidth="1"/>
    <col min="3" max="3" width="14.42578125" customWidth="1"/>
    <col min="4" max="4" width="15.28515625" customWidth="1"/>
    <col min="5" max="5" width="14.85546875" customWidth="1"/>
    <col min="6" max="6" width="15.7109375" customWidth="1"/>
    <col min="7" max="8" width="12.42578125" bestFit="1" customWidth="1"/>
    <col min="10" max="10" width="13.85546875" customWidth="1"/>
    <col min="11" max="11" width="15.85546875" customWidth="1"/>
    <col min="12" max="12" width="14.42578125" customWidth="1"/>
    <col min="13" max="13" width="12.42578125" customWidth="1"/>
    <col min="14" max="14" width="18.7109375" customWidth="1"/>
    <col min="15" max="15" width="12.5703125" customWidth="1"/>
    <col min="16" max="16" width="16" customWidth="1"/>
    <col min="17" max="17" width="11.85546875" bestFit="1" customWidth="1"/>
    <col min="18" max="18" width="11.42578125" customWidth="1"/>
    <col min="19" max="19" width="19" customWidth="1"/>
  </cols>
  <sheetData>
    <row r="1" spans="1:19" ht="32.25" thickBot="1" x14ac:dyDescent="0.3">
      <c r="A1" s="36" t="s">
        <v>21</v>
      </c>
      <c r="B1" s="1" t="s">
        <v>10</v>
      </c>
      <c r="C1" s="1" t="s">
        <v>11</v>
      </c>
      <c r="D1" s="2" t="s">
        <v>12</v>
      </c>
      <c r="E1" s="2" t="s">
        <v>13</v>
      </c>
      <c r="F1" s="3" t="s">
        <v>14</v>
      </c>
      <c r="G1" s="2" t="s">
        <v>15</v>
      </c>
      <c r="H1" s="2" t="s">
        <v>16</v>
      </c>
      <c r="I1" s="2" t="s">
        <v>1</v>
      </c>
      <c r="J1" s="4" t="s">
        <v>2</v>
      </c>
      <c r="K1" s="4" t="s">
        <v>3</v>
      </c>
      <c r="L1" s="4" t="s">
        <v>17</v>
      </c>
      <c r="M1" s="2" t="s">
        <v>18</v>
      </c>
      <c r="N1" s="5" t="s">
        <v>4</v>
      </c>
      <c r="O1" s="5" t="s">
        <v>5</v>
      </c>
      <c r="P1" s="2" t="s">
        <v>20</v>
      </c>
      <c r="Q1" s="2" t="s">
        <v>6</v>
      </c>
      <c r="R1" s="2" t="s">
        <v>7</v>
      </c>
      <c r="S1" s="5" t="s">
        <v>19</v>
      </c>
    </row>
    <row r="2" spans="1:19" x14ac:dyDescent="0.25">
      <c r="A2" s="6">
        <f>'[1]Cash Variance'!A3</f>
        <v>45839</v>
      </c>
      <c r="B2" s="7">
        <v>3488.55</v>
      </c>
      <c r="C2" s="7">
        <v>222.43</v>
      </c>
      <c r="D2" s="8">
        <v>230.97</v>
      </c>
      <c r="E2" s="27">
        <v>32.119999999999997</v>
      </c>
      <c r="F2" s="9">
        <f>SUM(B2:E2)</f>
        <v>3974.0699999999997</v>
      </c>
      <c r="G2" s="8">
        <v>1086.48</v>
      </c>
      <c r="H2" s="8">
        <f>1761.3-6.49</f>
        <v>1754.81</v>
      </c>
      <c r="I2" s="8">
        <v>18.64</v>
      </c>
      <c r="J2" s="8">
        <v>890.86</v>
      </c>
      <c r="K2" s="8">
        <v>32.450000000000003</v>
      </c>
      <c r="L2" s="8">
        <v>190.83</v>
      </c>
      <c r="M2" s="27">
        <v>0</v>
      </c>
      <c r="N2" s="30">
        <f>SUM(G2:M2)</f>
        <v>3974.0699999999997</v>
      </c>
      <c r="O2" s="30">
        <f t="shared" ref="O2:O32" si="0">+F2-N2</f>
        <v>0</v>
      </c>
      <c r="P2" s="27">
        <v>1086</v>
      </c>
      <c r="Q2" s="10">
        <v>45847</v>
      </c>
      <c r="R2" s="11"/>
      <c r="S2" s="12">
        <f t="shared" ref="S2:S32" si="1">P2-G2-R2</f>
        <v>-0.48000000000001819</v>
      </c>
    </row>
    <row r="3" spans="1:19" x14ac:dyDescent="0.25">
      <c r="A3" s="6">
        <f>'[1]Cash Variance'!A4</f>
        <v>45840</v>
      </c>
      <c r="B3" s="7">
        <v>3070.73</v>
      </c>
      <c r="C3" s="7">
        <v>177.62</v>
      </c>
      <c r="D3" s="8">
        <v>203.36</v>
      </c>
      <c r="E3" s="27">
        <v>32.43</v>
      </c>
      <c r="F3" s="9">
        <f t="shared" ref="F3:F32" si="2">SUM(B3:E3)</f>
        <v>3484.14</v>
      </c>
      <c r="G3" s="8">
        <v>1086.4000000000001</v>
      </c>
      <c r="H3" s="8">
        <f>1690.01-12.39</f>
        <v>1677.62</v>
      </c>
      <c r="I3" s="8">
        <v>0</v>
      </c>
      <c r="J3" s="8">
        <v>518.03</v>
      </c>
      <c r="K3" s="8">
        <v>40.549999999999997</v>
      </c>
      <c r="L3" s="8">
        <v>161.54</v>
      </c>
      <c r="M3" s="27">
        <v>0</v>
      </c>
      <c r="N3" s="30">
        <f t="shared" ref="N3:N32" si="3">SUM(G3:M3)</f>
        <v>3484.1400000000003</v>
      </c>
      <c r="O3" s="30">
        <f t="shared" si="0"/>
        <v>0</v>
      </c>
      <c r="P3" s="27">
        <v>1086</v>
      </c>
      <c r="Q3" s="10">
        <v>45854</v>
      </c>
      <c r="R3" s="11"/>
      <c r="S3" s="12">
        <f t="shared" si="1"/>
        <v>-0.40000000000009095</v>
      </c>
    </row>
    <row r="4" spans="1:19" x14ac:dyDescent="0.25">
      <c r="A4" s="6">
        <f>'[1]Cash Variance'!A5</f>
        <v>45841</v>
      </c>
      <c r="B4" s="7">
        <v>4041.95</v>
      </c>
      <c r="C4" s="7">
        <v>152.9</v>
      </c>
      <c r="D4" s="8">
        <v>267.64</v>
      </c>
      <c r="E4" s="27">
        <v>19.73</v>
      </c>
      <c r="F4" s="9">
        <f t="shared" si="2"/>
        <v>4482.2199999999993</v>
      </c>
      <c r="G4" s="8">
        <v>1171.22</v>
      </c>
      <c r="H4" s="8">
        <f>2057.09-2.26</f>
        <v>2054.83</v>
      </c>
      <c r="I4" s="8">
        <v>87.85</v>
      </c>
      <c r="J4" s="8">
        <v>976.58</v>
      </c>
      <c r="K4" s="8">
        <v>55.19</v>
      </c>
      <c r="L4" s="8">
        <v>136.55000000000001</v>
      </c>
      <c r="M4" s="27">
        <v>0</v>
      </c>
      <c r="N4" s="30">
        <f t="shared" si="3"/>
        <v>4482.22</v>
      </c>
      <c r="O4" s="30">
        <f t="shared" si="0"/>
        <v>0</v>
      </c>
      <c r="P4" s="27">
        <v>1171</v>
      </c>
      <c r="Q4" s="10">
        <v>45854</v>
      </c>
      <c r="R4" s="11"/>
      <c r="S4" s="12">
        <f t="shared" si="1"/>
        <v>-0.22000000000002728</v>
      </c>
    </row>
    <row r="5" spans="1:19" x14ac:dyDescent="0.25">
      <c r="A5" s="6">
        <f>'[1]Cash Variance'!A6</f>
        <v>45842</v>
      </c>
      <c r="B5" s="7">
        <v>3732.43</v>
      </c>
      <c r="C5" s="7">
        <v>103.43</v>
      </c>
      <c r="D5" s="8">
        <v>247.19</v>
      </c>
      <c r="E5" s="27">
        <v>33.39</v>
      </c>
      <c r="F5" s="9">
        <f t="shared" si="2"/>
        <v>4116.4399999999996</v>
      </c>
      <c r="G5" s="8">
        <v>1283.19</v>
      </c>
      <c r="H5" s="8">
        <f>1875.58-6.11</f>
        <v>1869.47</v>
      </c>
      <c r="I5" s="8">
        <v>0</v>
      </c>
      <c r="J5" s="8">
        <v>798.25</v>
      </c>
      <c r="K5" s="8">
        <v>78.92</v>
      </c>
      <c r="L5" s="8">
        <v>86.61</v>
      </c>
      <c r="M5" s="27">
        <v>0</v>
      </c>
      <c r="N5" s="30">
        <f t="shared" si="3"/>
        <v>4116.4399999999996</v>
      </c>
      <c r="O5" s="30">
        <f t="shared" si="0"/>
        <v>0</v>
      </c>
      <c r="P5" s="27">
        <v>1283</v>
      </c>
      <c r="Q5" s="10">
        <v>45854</v>
      </c>
      <c r="R5" s="11"/>
      <c r="S5" s="12">
        <f t="shared" si="1"/>
        <v>-0.19000000000005457</v>
      </c>
    </row>
    <row r="6" spans="1:19" x14ac:dyDescent="0.25">
      <c r="A6" s="6">
        <f>'[1]Cash Variance'!A7</f>
        <v>45843</v>
      </c>
      <c r="B6" s="7">
        <v>4018.2</v>
      </c>
      <c r="C6" s="8">
        <v>247.93</v>
      </c>
      <c r="D6" s="8">
        <v>266.08999999999997</v>
      </c>
      <c r="E6" s="27">
        <v>18.29</v>
      </c>
      <c r="F6" s="9">
        <f t="shared" si="2"/>
        <v>4550.51</v>
      </c>
      <c r="G6" s="8">
        <v>1658.03</v>
      </c>
      <c r="H6" s="8">
        <f>1885.14-13.05</f>
        <v>1872.0900000000001</v>
      </c>
      <c r="I6" s="8">
        <v>0</v>
      </c>
      <c r="J6" s="8">
        <v>682.41</v>
      </c>
      <c r="K6" s="8">
        <v>91.01</v>
      </c>
      <c r="L6" s="8">
        <v>246.97</v>
      </c>
      <c r="M6" s="27">
        <v>0</v>
      </c>
      <c r="N6" s="30">
        <f t="shared" si="3"/>
        <v>4550.51</v>
      </c>
      <c r="O6" s="30">
        <f t="shared" si="0"/>
        <v>0</v>
      </c>
      <c r="P6" s="27">
        <v>1658</v>
      </c>
      <c r="Q6" s="10">
        <v>45854</v>
      </c>
      <c r="R6" s="11"/>
      <c r="S6" s="12">
        <f t="shared" si="1"/>
        <v>-2.9999999999972715E-2</v>
      </c>
    </row>
    <row r="7" spans="1:19" x14ac:dyDescent="0.25">
      <c r="A7" s="6">
        <f>'[1]Cash Variance'!A8</f>
        <v>45844</v>
      </c>
      <c r="B7" s="7">
        <v>4584.76</v>
      </c>
      <c r="C7">
        <v>169.97</v>
      </c>
      <c r="D7" s="8">
        <v>303.61</v>
      </c>
      <c r="E7" s="27">
        <v>50.25</v>
      </c>
      <c r="F7" s="9">
        <f>SUM(B7:E7)</f>
        <v>5108.59</v>
      </c>
      <c r="G7" s="8">
        <v>1671.89</v>
      </c>
      <c r="H7" s="8">
        <f>2205.44-8.4</f>
        <v>2197.04</v>
      </c>
      <c r="I7" s="8">
        <v>41.24</v>
      </c>
      <c r="J7" s="8">
        <v>882.3</v>
      </c>
      <c r="K7" s="8">
        <v>161.16999999999999</v>
      </c>
      <c r="L7" s="8">
        <v>154.94999999999999</v>
      </c>
      <c r="M7" s="27">
        <v>0</v>
      </c>
      <c r="N7" s="30">
        <f t="shared" si="3"/>
        <v>5108.59</v>
      </c>
      <c r="O7" s="30">
        <f t="shared" si="0"/>
        <v>0</v>
      </c>
      <c r="P7" s="27">
        <v>1671</v>
      </c>
      <c r="Q7" s="10">
        <v>45854</v>
      </c>
      <c r="R7" s="11"/>
      <c r="S7" s="12">
        <f t="shared" si="1"/>
        <v>-0.89000000000010004</v>
      </c>
    </row>
    <row r="8" spans="1:19" x14ac:dyDescent="0.25">
      <c r="A8" s="6">
        <f>'[1]Cash Variance'!A9</f>
        <v>45845</v>
      </c>
      <c r="B8" s="7">
        <v>2270.69</v>
      </c>
      <c r="C8" s="7">
        <v>95.99</v>
      </c>
      <c r="D8" s="8">
        <v>150.36000000000001</v>
      </c>
      <c r="E8" s="27">
        <v>36.299999999999997</v>
      </c>
      <c r="F8" s="9">
        <f t="shared" si="2"/>
        <v>2553.34</v>
      </c>
      <c r="G8" s="8">
        <v>984.34</v>
      </c>
      <c r="H8" s="8">
        <f>1421.69-4.22</f>
        <v>1417.47</v>
      </c>
      <c r="I8" s="8">
        <v>0</v>
      </c>
      <c r="J8" s="8">
        <v>64.89</v>
      </c>
      <c r="K8" s="8">
        <v>0</v>
      </c>
      <c r="L8" s="8">
        <v>86.64</v>
      </c>
      <c r="M8" s="27">
        <v>0</v>
      </c>
      <c r="N8" s="30">
        <f t="shared" si="3"/>
        <v>2553.3399999999997</v>
      </c>
      <c r="O8" s="30">
        <f t="shared" si="0"/>
        <v>0</v>
      </c>
      <c r="P8" s="27">
        <v>984</v>
      </c>
      <c r="Q8" s="10">
        <v>45854</v>
      </c>
      <c r="R8" s="11"/>
      <c r="S8" s="12">
        <f t="shared" si="1"/>
        <v>-0.34000000000003183</v>
      </c>
    </row>
    <row r="9" spans="1:19" x14ac:dyDescent="0.25">
      <c r="A9" s="6">
        <f>'[1]Cash Variance'!A10</f>
        <v>45846</v>
      </c>
      <c r="B9" s="7">
        <v>2858.91</v>
      </c>
      <c r="C9" s="7">
        <v>151.11000000000001</v>
      </c>
      <c r="D9" s="13">
        <v>189.36</v>
      </c>
      <c r="E9" s="27">
        <v>51.39</v>
      </c>
      <c r="F9" s="9">
        <f t="shared" si="2"/>
        <v>3250.77</v>
      </c>
      <c r="G9" s="8">
        <v>747.42</v>
      </c>
      <c r="H9" s="8">
        <f>1618.66-7.44</f>
        <v>1611.22</v>
      </c>
      <c r="I9" s="8">
        <v>13.31</v>
      </c>
      <c r="J9" s="8">
        <v>673.78</v>
      </c>
      <c r="K9" s="8">
        <v>56.29</v>
      </c>
      <c r="L9" s="8">
        <v>148.75</v>
      </c>
      <c r="M9" s="27">
        <v>0</v>
      </c>
      <c r="N9" s="30">
        <f t="shared" si="3"/>
        <v>3250.7699999999995</v>
      </c>
      <c r="O9" s="30">
        <f t="shared" si="0"/>
        <v>0</v>
      </c>
      <c r="P9" s="27">
        <v>747</v>
      </c>
      <c r="Q9" s="10">
        <v>45854</v>
      </c>
      <c r="R9" s="11"/>
      <c r="S9" s="12">
        <f t="shared" si="1"/>
        <v>-0.41999999999995907</v>
      </c>
    </row>
    <row r="10" spans="1:19" x14ac:dyDescent="0.25">
      <c r="A10" s="6">
        <f>'[1]Cash Variance'!A11</f>
        <v>45847</v>
      </c>
      <c r="B10" s="7">
        <v>2937.72</v>
      </c>
      <c r="C10" s="7">
        <v>105.44</v>
      </c>
      <c r="D10" s="13">
        <v>193.72</v>
      </c>
      <c r="E10" s="27">
        <v>17.8</v>
      </c>
      <c r="F10" s="9">
        <f t="shared" si="2"/>
        <v>3254.68</v>
      </c>
      <c r="G10" s="8">
        <v>955.58</v>
      </c>
      <c r="H10" s="8">
        <f>1518.54-4.15</f>
        <v>1514.3899999999999</v>
      </c>
      <c r="I10" s="8">
        <v>14.37</v>
      </c>
      <c r="J10" s="8">
        <v>627.94000000000005</v>
      </c>
      <c r="K10" s="8">
        <v>60.09</v>
      </c>
      <c r="L10" s="8">
        <v>82.31</v>
      </c>
      <c r="M10" s="27">
        <v>0</v>
      </c>
      <c r="N10" s="30">
        <f t="shared" si="3"/>
        <v>3254.68</v>
      </c>
      <c r="O10" s="30">
        <f t="shared" si="0"/>
        <v>0</v>
      </c>
      <c r="P10" s="27">
        <v>955</v>
      </c>
      <c r="Q10" s="10">
        <v>45861</v>
      </c>
      <c r="R10" s="11"/>
      <c r="S10" s="12">
        <f t="shared" si="1"/>
        <v>-0.58000000000004093</v>
      </c>
    </row>
    <row r="11" spans="1:19" x14ac:dyDescent="0.25">
      <c r="A11" s="6">
        <f>'[1]Cash Variance'!A12</f>
        <v>45848</v>
      </c>
      <c r="B11" s="7">
        <v>3149.72</v>
      </c>
      <c r="C11" s="7">
        <v>91.82</v>
      </c>
      <c r="D11" s="8">
        <v>208.52</v>
      </c>
      <c r="E11" s="27">
        <v>28.4</v>
      </c>
      <c r="F11" s="9">
        <f t="shared" si="2"/>
        <v>3478.46</v>
      </c>
      <c r="G11" s="8">
        <v>1111.76</v>
      </c>
      <c r="H11" s="8">
        <f>1712.2-5.79</f>
        <v>1706.41</v>
      </c>
      <c r="I11" s="8">
        <v>9.0500000000000007</v>
      </c>
      <c r="J11" s="8">
        <v>507.66</v>
      </c>
      <c r="K11" s="8">
        <v>67.47</v>
      </c>
      <c r="L11" s="8">
        <v>76.11</v>
      </c>
      <c r="M11" s="27">
        <v>0</v>
      </c>
      <c r="N11" s="30">
        <f t="shared" si="3"/>
        <v>3478.46</v>
      </c>
      <c r="O11" s="30">
        <f t="shared" si="0"/>
        <v>0</v>
      </c>
      <c r="P11" s="27">
        <v>1111</v>
      </c>
      <c r="Q11" s="10">
        <v>45861</v>
      </c>
      <c r="R11" s="11"/>
      <c r="S11" s="12">
        <f t="shared" si="1"/>
        <v>-0.75999999999999091</v>
      </c>
    </row>
    <row r="12" spans="1:19" x14ac:dyDescent="0.25">
      <c r="A12" s="6">
        <f>'[1]Cash Variance'!A13</f>
        <v>45849</v>
      </c>
      <c r="B12" s="7">
        <v>4863.88</v>
      </c>
      <c r="C12" s="7">
        <v>141.34</v>
      </c>
      <c r="D12" s="8">
        <v>322.22000000000003</v>
      </c>
      <c r="E12" s="27">
        <v>49.69</v>
      </c>
      <c r="F12" s="9">
        <f t="shared" si="2"/>
        <v>5377.13</v>
      </c>
      <c r="G12" s="8">
        <v>1460.99</v>
      </c>
      <c r="H12" s="8">
        <f>2757.93-10.02</f>
        <v>2747.91</v>
      </c>
      <c r="I12" s="8">
        <v>0</v>
      </c>
      <c r="J12" s="8">
        <v>975.93</v>
      </c>
      <c r="K12" s="8">
        <v>73.08</v>
      </c>
      <c r="L12" s="8">
        <v>119.22</v>
      </c>
      <c r="M12" s="27">
        <v>0</v>
      </c>
      <c r="N12" s="30">
        <f t="shared" si="3"/>
        <v>5377.13</v>
      </c>
      <c r="O12" s="30">
        <f t="shared" si="0"/>
        <v>0</v>
      </c>
      <c r="P12" s="27">
        <v>1460</v>
      </c>
      <c r="Q12" s="10">
        <v>45861</v>
      </c>
      <c r="R12" s="11"/>
      <c r="S12" s="12">
        <f t="shared" si="1"/>
        <v>-0.99000000000000909</v>
      </c>
    </row>
    <row r="13" spans="1:19" x14ac:dyDescent="0.25">
      <c r="A13" s="6">
        <f>'[1]Cash Variance'!A14</f>
        <v>45850</v>
      </c>
      <c r="B13" s="7">
        <v>5225.1499999999996</v>
      </c>
      <c r="C13" s="7">
        <v>335.93</v>
      </c>
      <c r="D13" s="8">
        <v>346</v>
      </c>
      <c r="E13" s="27">
        <v>48.62</v>
      </c>
      <c r="F13" s="9">
        <f t="shared" si="2"/>
        <v>5955.7</v>
      </c>
      <c r="G13" s="8">
        <v>1739.11</v>
      </c>
      <c r="H13" s="8">
        <f>2834.21-14.09</f>
        <v>2820.12</v>
      </c>
      <c r="I13" s="8">
        <v>0</v>
      </c>
      <c r="J13" s="8">
        <v>1068.92</v>
      </c>
      <c r="K13" s="8">
        <v>8.2799999999999994</v>
      </c>
      <c r="L13" s="8">
        <v>319.27</v>
      </c>
      <c r="M13" s="27">
        <v>0</v>
      </c>
      <c r="N13" s="30">
        <f t="shared" si="3"/>
        <v>5955.6999999999989</v>
      </c>
      <c r="O13" s="30">
        <f t="shared" si="0"/>
        <v>0</v>
      </c>
      <c r="P13" s="27">
        <v>1739</v>
      </c>
      <c r="Q13" s="10">
        <v>45861</v>
      </c>
      <c r="R13" s="11"/>
      <c r="S13" s="12">
        <f t="shared" si="1"/>
        <v>-0.10999999999989996</v>
      </c>
    </row>
    <row r="14" spans="1:19" x14ac:dyDescent="0.25">
      <c r="A14" s="6">
        <f>'[1]Cash Variance'!A15</f>
        <v>45851</v>
      </c>
      <c r="B14" s="7">
        <v>3775.58</v>
      </c>
      <c r="C14" s="7">
        <v>360.93</v>
      </c>
      <c r="D14" s="8">
        <v>250.11</v>
      </c>
      <c r="E14" s="27">
        <v>20.99</v>
      </c>
      <c r="F14" s="9">
        <f t="shared" si="2"/>
        <v>4407.6099999999997</v>
      </c>
      <c r="G14" s="8">
        <v>1584.53</v>
      </c>
      <c r="H14" s="8">
        <f>1708.86-18.03</f>
        <v>1690.83</v>
      </c>
      <c r="I14" s="8">
        <v>52.41</v>
      </c>
      <c r="J14" s="8">
        <v>698.69</v>
      </c>
      <c r="K14" s="8">
        <v>24.82</v>
      </c>
      <c r="L14" s="8">
        <v>347.81</v>
      </c>
      <c r="M14" s="27">
        <v>8.52</v>
      </c>
      <c r="N14" s="30">
        <f t="shared" si="3"/>
        <v>4407.6100000000006</v>
      </c>
      <c r="O14" s="30">
        <f t="shared" si="0"/>
        <v>0</v>
      </c>
      <c r="P14" s="27">
        <v>1584</v>
      </c>
      <c r="Q14" s="10">
        <v>45861</v>
      </c>
      <c r="R14" s="11"/>
      <c r="S14" s="12">
        <f t="shared" si="1"/>
        <v>-0.52999999999997272</v>
      </c>
    </row>
    <row r="15" spans="1:19" x14ac:dyDescent="0.25">
      <c r="A15" s="6">
        <f>'[1]Cash Variance'!A16</f>
        <v>45852</v>
      </c>
      <c r="B15" s="7">
        <v>2752.32</v>
      </c>
      <c r="C15" s="7">
        <v>85.89</v>
      </c>
      <c r="D15" s="8">
        <v>182.32</v>
      </c>
      <c r="E15" s="27">
        <v>17.059999999999999</v>
      </c>
      <c r="F15" s="9">
        <f t="shared" si="2"/>
        <v>3037.59</v>
      </c>
      <c r="G15" s="8">
        <v>976.38</v>
      </c>
      <c r="H15" s="8">
        <f>1403.51-7.78</f>
        <v>1395.73</v>
      </c>
      <c r="I15" s="8">
        <v>0</v>
      </c>
      <c r="J15" s="8">
        <v>529.45000000000005</v>
      </c>
      <c r="K15" s="8">
        <v>51.26</v>
      </c>
      <c r="L15" s="8">
        <v>84.77</v>
      </c>
      <c r="M15" s="27">
        <v>0</v>
      </c>
      <c r="N15" s="30">
        <f t="shared" si="3"/>
        <v>3037.5900000000006</v>
      </c>
      <c r="O15" s="30">
        <f t="shared" si="0"/>
        <v>0</v>
      </c>
      <c r="P15" s="32">
        <v>976</v>
      </c>
      <c r="Q15" s="10">
        <v>45861</v>
      </c>
      <c r="R15" s="11"/>
      <c r="S15" s="12">
        <f t="shared" si="1"/>
        <v>-0.37999999999999545</v>
      </c>
    </row>
    <row r="16" spans="1:19" x14ac:dyDescent="0.25">
      <c r="A16" s="6">
        <f>'[1]Cash Variance'!A17</f>
        <v>45853</v>
      </c>
      <c r="B16" s="7">
        <v>3372.41</v>
      </c>
      <c r="C16" s="7">
        <v>232.23</v>
      </c>
      <c r="D16" s="8">
        <v>223.32</v>
      </c>
      <c r="E16" s="27">
        <v>20.89</v>
      </c>
      <c r="F16" s="9">
        <f t="shared" si="2"/>
        <v>3848.85</v>
      </c>
      <c r="G16" s="8">
        <v>1042.57</v>
      </c>
      <c r="H16" s="8">
        <f>1842.62-14.55</f>
        <v>1828.07</v>
      </c>
      <c r="I16" s="8">
        <v>0</v>
      </c>
      <c r="J16" s="8">
        <v>633.54</v>
      </c>
      <c r="K16" s="8">
        <v>140.93</v>
      </c>
      <c r="L16" s="8">
        <v>194.69</v>
      </c>
      <c r="M16" s="27">
        <v>9.0500000000000007</v>
      </c>
      <c r="N16" s="30">
        <f t="shared" si="3"/>
        <v>3848.85</v>
      </c>
      <c r="O16" s="30">
        <f t="shared" si="0"/>
        <v>0</v>
      </c>
      <c r="P16" s="26">
        <v>1042</v>
      </c>
      <c r="Q16" s="14">
        <v>45868</v>
      </c>
      <c r="R16" s="11"/>
      <c r="S16" s="12">
        <f t="shared" si="1"/>
        <v>-0.56999999999993634</v>
      </c>
    </row>
    <row r="17" spans="1:19" x14ac:dyDescent="0.25">
      <c r="A17" s="6">
        <f>'[1]Cash Variance'!A18</f>
        <v>45854</v>
      </c>
      <c r="B17" s="7">
        <v>2554.0700000000002</v>
      </c>
      <c r="C17" s="7">
        <v>84.53</v>
      </c>
      <c r="D17" s="8">
        <v>169.08</v>
      </c>
      <c r="E17" s="27">
        <v>12.31</v>
      </c>
      <c r="F17" s="9">
        <f t="shared" si="2"/>
        <v>2819.9900000000002</v>
      </c>
      <c r="G17" s="8">
        <v>886.96</v>
      </c>
      <c r="H17" s="8">
        <f>1218.03-3.44</f>
        <v>1214.5899999999999</v>
      </c>
      <c r="I17" s="8">
        <v>53.78</v>
      </c>
      <c r="J17" s="8">
        <v>545.91999999999996</v>
      </c>
      <c r="K17" s="8">
        <v>49.89</v>
      </c>
      <c r="L17" s="8">
        <v>68.849999999999994</v>
      </c>
      <c r="M17" s="27">
        <v>0</v>
      </c>
      <c r="N17" s="30">
        <f t="shared" si="3"/>
        <v>2819.9900000000002</v>
      </c>
      <c r="O17" s="30">
        <f t="shared" si="0"/>
        <v>0</v>
      </c>
      <c r="P17" s="26">
        <v>886</v>
      </c>
      <c r="Q17" s="14">
        <v>45868</v>
      </c>
      <c r="R17" s="8"/>
      <c r="S17" s="12">
        <f t="shared" si="1"/>
        <v>-0.96000000000003638</v>
      </c>
    </row>
    <row r="18" spans="1:19" x14ac:dyDescent="0.25">
      <c r="A18" s="6">
        <f>'[1]Cash Variance'!A19</f>
        <v>45855</v>
      </c>
      <c r="B18" s="7">
        <v>3113.89</v>
      </c>
      <c r="C18" s="7">
        <v>210.61</v>
      </c>
      <c r="D18" s="8">
        <v>206.22</v>
      </c>
      <c r="E18" s="27">
        <v>36.69</v>
      </c>
      <c r="F18" s="9">
        <f t="shared" si="2"/>
        <v>3567.41</v>
      </c>
      <c r="G18" s="8">
        <v>1002.61</v>
      </c>
      <c r="H18" s="8">
        <f>1711.38-11.9</f>
        <v>1699.48</v>
      </c>
      <c r="I18" s="8">
        <v>0</v>
      </c>
      <c r="J18" s="8">
        <v>646.36</v>
      </c>
      <c r="K18" s="8">
        <v>19.09</v>
      </c>
      <c r="L18" s="8">
        <v>199.87</v>
      </c>
      <c r="M18" s="27">
        <v>0</v>
      </c>
      <c r="N18" s="30">
        <f t="shared" si="3"/>
        <v>3567.4100000000003</v>
      </c>
      <c r="O18" s="30">
        <f t="shared" si="0"/>
        <v>0</v>
      </c>
      <c r="P18" s="33">
        <v>1002</v>
      </c>
      <c r="Q18" s="15">
        <v>45868</v>
      </c>
      <c r="R18" s="11"/>
      <c r="S18" s="12">
        <f t="shared" si="1"/>
        <v>-0.61000000000001364</v>
      </c>
    </row>
    <row r="19" spans="1:19" x14ac:dyDescent="0.25">
      <c r="A19" s="6">
        <f>'[1]Cash Variance'!A20</f>
        <v>45856</v>
      </c>
      <c r="B19" s="7">
        <v>4061.82</v>
      </c>
      <c r="C19" s="7">
        <v>158.88</v>
      </c>
      <c r="D19" s="8">
        <v>269.02999999999997</v>
      </c>
      <c r="E19" s="27">
        <v>45.44</v>
      </c>
      <c r="F19" s="9">
        <f t="shared" si="2"/>
        <v>4535.1699999999992</v>
      </c>
      <c r="G19" s="8">
        <v>1003.32</v>
      </c>
      <c r="H19" s="8">
        <f>2172.24-10.94</f>
        <v>2161.2999999999997</v>
      </c>
      <c r="I19" s="8">
        <v>0</v>
      </c>
      <c r="J19" s="8">
        <v>1147.19</v>
      </c>
      <c r="K19" s="8">
        <v>95.72</v>
      </c>
      <c r="L19" s="8">
        <v>127.64</v>
      </c>
      <c r="M19" s="27">
        <v>0</v>
      </c>
      <c r="N19" s="30">
        <f t="shared" si="3"/>
        <v>4535.17</v>
      </c>
      <c r="O19" s="30">
        <f t="shared" si="0"/>
        <v>0</v>
      </c>
      <c r="P19" s="26">
        <v>1003</v>
      </c>
      <c r="Q19" s="15">
        <v>45868</v>
      </c>
      <c r="R19" s="11"/>
      <c r="S19" s="12">
        <f t="shared" si="1"/>
        <v>-0.32000000000005002</v>
      </c>
    </row>
    <row r="20" spans="1:19" x14ac:dyDescent="0.25">
      <c r="A20" s="6">
        <f>'[1]Cash Variance'!A21</f>
        <v>45857</v>
      </c>
      <c r="B20" s="7">
        <v>5311.76</v>
      </c>
      <c r="C20" s="7">
        <v>293.5</v>
      </c>
      <c r="D20" s="8">
        <v>351.66</v>
      </c>
      <c r="E20" s="27">
        <v>31.97</v>
      </c>
      <c r="F20" s="9">
        <f t="shared" si="2"/>
        <v>5988.89</v>
      </c>
      <c r="G20" s="8">
        <v>1831.93</v>
      </c>
      <c r="H20" s="8">
        <f>2405.8-1.79</f>
        <v>2404.0100000000002</v>
      </c>
      <c r="I20" s="8">
        <v>0</v>
      </c>
      <c r="J20" s="8">
        <v>1431.21</v>
      </c>
      <c r="K20" s="8">
        <v>68.62</v>
      </c>
      <c r="L20" s="8">
        <v>253.12</v>
      </c>
      <c r="M20" s="27">
        <v>0</v>
      </c>
      <c r="N20" s="30">
        <f t="shared" si="3"/>
        <v>5988.89</v>
      </c>
      <c r="O20" s="30">
        <f t="shared" si="0"/>
        <v>0</v>
      </c>
      <c r="P20" s="26">
        <v>1831</v>
      </c>
      <c r="Q20" s="15">
        <v>45868</v>
      </c>
      <c r="R20" s="8">
        <v>-850</v>
      </c>
      <c r="S20" s="12">
        <f t="shared" si="1"/>
        <v>849.06999999999994</v>
      </c>
    </row>
    <row r="21" spans="1:19" x14ac:dyDescent="0.25">
      <c r="A21" s="6">
        <f>'[1]Cash Variance'!A22</f>
        <v>45858</v>
      </c>
      <c r="B21" s="7">
        <v>4557.4399999999996</v>
      </c>
      <c r="C21" s="7">
        <v>191.67</v>
      </c>
      <c r="D21" s="8">
        <v>301.8</v>
      </c>
      <c r="E21" s="27">
        <v>26.75</v>
      </c>
      <c r="F21" s="9">
        <f t="shared" si="2"/>
        <v>5077.66</v>
      </c>
      <c r="G21" s="8">
        <v>1630.5</v>
      </c>
      <c r="H21" s="8">
        <v>2018.26</v>
      </c>
      <c r="I21" s="8">
        <v>24.23</v>
      </c>
      <c r="J21" s="8">
        <v>1134.95</v>
      </c>
      <c r="K21" s="8">
        <v>94.47</v>
      </c>
      <c r="L21" s="8">
        <v>175.54</v>
      </c>
      <c r="M21" s="27">
        <v>0</v>
      </c>
      <c r="N21" s="30">
        <f t="shared" si="3"/>
        <v>5077.9500000000007</v>
      </c>
      <c r="O21" s="30">
        <f t="shared" si="0"/>
        <v>-0.29000000000087311</v>
      </c>
      <c r="P21" s="26">
        <v>1630</v>
      </c>
      <c r="Q21" s="15">
        <v>45868</v>
      </c>
      <c r="R21" s="11"/>
      <c r="S21" s="12">
        <f t="shared" si="1"/>
        <v>-0.5</v>
      </c>
    </row>
    <row r="22" spans="1:19" x14ac:dyDescent="0.25">
      <c r="A22" s="6">
        <f>'[1]Cash Variance'!A23</f>
        <v>45859</v>
      </c>
      <c r="B22" s="7">
        <v>2976.68</v>
      </c>
      <c r="C22" s="7">
        <v>34.82</v>
      </c>
      <c r="D22" s="8">
        <v>197.14</v>
      </c>
      <c r="E22" s="27">
        <v>11.84</v>
      </c>
      <c r="F22" s="9">
        <f t="shared" si="2"/>
        <v>3220.48</v>
      </c>
      <c r="G22" s="8">
        <v>1316.48</v>
      </c>
      <c r="H22" s="8">
        <f>709.13+206.87+275.99+21.3-1.64</f>
        <v>1211.6499999999999</v>
      </c>
      <c r="I22" s="8">
        <v>0</v>
      </c>
      <c r="J22" s="8">
        <v>692.35</v>
      </c>
      <c r="K22" s="8">
        <v>0</v>
      </c>
      <c r="L22" s="8">
        <v>0</v>
      </c>
      <c r="M22" s="27">
        <v>0</v>
      </c>
      <c r="N22" s="30">
        <f t="shared" si="3"/>
        <v>3220.48</v>
      </c>
      <c r="O22" s="30">
        <f t="shared" si="0"/>
        <v>0</v>
      </c>
      <c r="P22" s="26">
        <v>1316</v>
      </c>
      <c r="Q22" s="15">
        <v>45868</v>
      </c>
      <c r="R22" s="11"/>
      <c r="S22" s="12">
        <f t="shared" si="1"/>
        <v>-0.48000000000001819</v>
      </c>
    </row>
    <row r="23" spans="1:19" x14ac:dyDescent="0.25">
      <c r="A23" s="6">
        <f>'[1]Cash Variance'!A24</f>
        <v>45860</v>
      </c>
      <c r="B23" s="7">
        <v>3229.07</v>
      </c>
      <c r="C23" s="7">
        <v>42.52</v>
      </c>
      <c r="D23" s="8">
        <v>213.91</v>
      </c>
      <c r="E23" s="27">
        <v>10</v>
      </c>
      <c r="F23" s="9">
        <f t="shared" si="2"/>
        <v>3495.5</v>
      </c>
      <c r="G23" s="8">
        <v>1264.68</v>
      </c>
      <c r="H23" s="8">
        <f>1325.54-3.45</f>
        <v>1322.09</v>
      </c>
      <c r="I23" s="8">
        <v>0</v>
      </c>
      <c r="J23" s="8">
        <v>854.15</v>
      </c>
      <c r="K23" s="8">
        <v>22.28</v>
      </c>
      <c r="L23" s="8">
        <v>32.299999999999997</v>
      </c>
      <c r="M23" s="27">
        <v>0</v>
      </c>
      <c r="N23" s="30">
        <f t="shared" si="3"/>
        <v>3495.5000000000005</v>
      </c>
      <c r="O23" s="30">
        <f t="shared" si="0"/>
        <v>0</v>
      </c>
      <c r="P23" s="26">
        <v>1264</v>
      </c>
      <c r="Q23" s="15">
        <v>45868</v>
      </c>
      <c r="R23" s="11"/>
      <c r="S23" s="12">
        <f t="shared" si="1"/>
        <v>-0.68000000000006366</v>
      </c>
    </row>
    <row r="24" spans="1:19" x14ac:dyDescent="0.25">
      <c r="A24" s="6">
        <f>'[1]Cash Variance'!A25</f>
        <v>45861</v>
      </c>
      <c r="B24" s="7">
        <v>3508.26</v>
      </c>
      <c r="C24" s="7">
        <v>169.86</v>
      </c>
      <c r="D24" s="16">
        <v>232.4</v>
      </c>
      <c r="E24" s="27">
        <v>24.47</v>
      </c>
      <c r="F24" s="9">
        <f t="shared" si="2"/>
        <v>3934.9900000000002</v>
      </c>
      <c r="G24" s="8">
        <v>1316.6</v>
      </c>
      <c r="H24" s="8">
        <f>1533.89-3.84</f>
        <v>1530.0500000000002</v>
      </c>
      <c r="I24" s="8">
        <v>12.29</v>
      </c>
      <c r="J24" s="8">
        <v>900.02</v>
      </c>
      <c r="K24" s="8">
        <v>21</v>
      </c>
      <c r="L24" s="8">
        <v>155.03</v>
      </c>
      <c r="M24" s="27">
        <v>0</v>
      </c>
      <c r="N24" s="30">
        <f t="shared" si="3"/>
        <v>3934.9900000000002</v>
      </c>
      <c r="O24" s="30">
        <f t="shared" si="0"/>
        <v>0</v>
      </c>
      <c r="P24" s="34"/>
      <c r="Q24" s="17"/>
      <c r="R24" s="11"/>
      <c r="S24" s="12">
        <f>P24-G24-R24</f>
        <v>-1316.6</v>
      </c>
    </row>
    <row r="25" spans="1:19" x14ac:dyDescent="0.25">
      <c r="A25" s="6">
        <f>'[1]Cash Variance'!A26</f>
        <v>45862</v>
      </c>
      <c r="B25" s="7">
        <v>3647.82</v>
      </c>
      <c r="C25" s="7">
        <v>31.7</v>
      </c>
      <c r="D25" s="8">
        <v>241.49</v>
      </c>
      <c r="E25" s="27">
        <v>17.05</v>
      </c>
      <c r="F25" s="9">
        <f t="shared" si="2"/>
        <v>3938.0600000000004</v>
      </c>
      <c r="G25" s="8">
        <v>1044.8800000000001</v>
      </c>
      <c r="H25" s="8">
        <f>1768.86-5.53</f>
        <v>1763.33</v>
      </c>
      <c r="I25" s="8">
        <v>0</v>
      </c>
      <c r="J25" s="8">
        <v>1032.72</v>
      </c>
      <c r="K25" s="8">
        <v>84.94</v>
      </c>
      <c r="L25" s="8">
        <v>12.19</v>
      </c>
      <c r="M25" s="27">
        <v>0</v>
      </c>
      <c r="N25" s="30">
        <f t="shared" si="3"/>
        <v>3938.0600000000004</v>
      </c>
      <c r="O25" s="30">
        <f t="shared" si="0"/>
        <v>0</v>
      </c>
      <c r="P25" s="35"/>
      <c r="Q25" s="10"/>
      <c r="R25" s="11"/>
      <c r="S25" s="12">
        <f t="shared" si="1"/>
        <v>-1044.8800000000001</v>
      </c>
    </row>
    <row r="26" spans="1:19" x14ac:dyDescent="0.25">
      <c r="A26" s="6">
        <f>'[1]Cash Variance'!A27</f>
        <v>45863</v>
      </c>
      <c r="B26" s="8">
        <v>4928.1099999999997</v>
      </c>
      <c r="C26" s="8">
        <v>130.79</v>
      </c>
      <c r="D26" s="8">
        <v>326.33</v>
      </c>
      <c r="E26" s="27">
        <v>77.900000000000006</v>
      </c>
      <c r="F26" s="9">
        <f>SUM(B26:E26)</f>
        <v>5463.1299999999992</v>
      </c>
      <c r="G26" s="8">
        <v>1328.87</v>
      </c>
      <c r="H26" s="8">
        <f>2725.46-6.93</f>
        <v>2718.53</v>
      </c>
      <c r="I26" s="8">
        <v>50.19</v>
      </c>
      <c r="J26" s="8">
        <v>1188.49</v>
      </c>
      <c r="K26" s="8">
        <v>81.36</v>
      </c>
      <c r="L26" s="8">
        <v>95.69</v>
      </c>
      <c r="M26" s="27">
        <v>0</v>
      </c>
      <c r="N26" s="30">
        <f t="shared" si="3"/>
        <v>5463.1299999999992</v>
      </c>
      <c r="O26" s="30">
        <f t="shared" si="0"/>
        <v>0</v>
      </c>
      <c r="P26" s="27"/>
      <c r="Q26" s="10"/>
      <c r="R26" s="11"/>
      <c r="S26" s="12">
        <f t="shared" si="1"/>
        <v>-1328.87</v>
      </c>
    </row>
    <row r="27" spans="1:19" x14ac:dyDescent="0.25">
      <c r="A27" s="6">
        <f>'[1]Cash Variance'!A28</f>
        <v>45864</v>
      </c>
      <c r="B27" s="7">
        <v>5367.83</v>
      </c>
      <c r="C27" s="7">
        <v>428.43</v>
      </c>
      <c r="D27" s="8">
        <v>355.47</v>
      </c>
      <c r="E27" s="27">
        <v>44.4</v>
      </c>
      <c r="F27" s="9">
        <f t="shared" si="2"/>
        <v>6196.13</v>
      </c>
      <c r="G27" s="8">
        <v>1711.05</v>
      </c>
      <c r="H27" s="8">
        <f>2781.14-6.91</f>
        <v>2774.23</v>
      </c>
      <c r="I27" s="8">
        <v>0</v>
      </c>
      <c r="J27" s="8">
        <v>1256.29</v>
      </c>
      <c r="K27" s="8">
        <v>49.45</v>
      </c>
      <c r="L27" s="8">
        <v>389.35</v>
      </c>
      <c r="M27" s="27">
        <v>15.76</v>
      </c>
      <c r="N27" s="30">
        <f t="shared" si="3"/>
        <v>6196.13</v>
      </c>
      <c r="O27" s="30">
        <f t="shared" si="0"/>
        <v>0</v>
      </c>
      <c r="P27" s="27"/>
      <c r="Q27" s="10"/>
      <c r="R27" s="11"/>
      <c r="S27" s="12">
        <f t="shared" si="1"/>
        <v>-1711.05</v>
      </c>
    </row>
    <row r="28" spans="1:19" x14ac:dyDescent="0.25">
      <c r="A28" s="6">
        <f>'[1]Cash Variance'!A29</f>
        <v>45865</v>
      </c>
      <c r="B28" s="7">
        <v>4818.58</v>
      </c>
      <c r="C28" s="7">
        <v>232.61</v>
      </c>
      <c r="D28" s="8">
        <v>319.14</v>
      </c>
      <c r="E28" s="27">
        <v>22.52</v>
      </c>
      <c r="F28" s="9">
        <f t="shared" si="2"/>
        <v>5392.85</v>
      </c>
      <c r="G28" s="8">
        <v>1888.87</v>
      </c>
      <c r="H28" s="8">
        <f>2319.69-5.09</f>
        <v>2314.6</v>
      </c>
      <c r="I28" s="8">
        <v>0</v>
      </c>
      <c r="J28" s="8">
        <v>857.58</v>
      </c>
      <c r="K28" s="8">
        <v>152.37</v>
      </c>
      <c r="L28" s="8">
        <v>179.43</v>
      </c>
      <c r="M28" s="27">
        <v>0</v>
      </c>
      <c r="N28" s="30">
        <f t="shared" si="3"/>
        <v>5392.8499999999995</v>
      </c>
      <c r="O28" s="30">
        <f t="shared" si="0"/>
        <v>0</v>
      </c>
      <c r="P28" s="27"/>
      <c r="Q28" s="10"/>
      <c r="R28" s="11"/>
      <c r="S28" s="12">
        <f t="shared" si="1"/>
        <v>-1888.87</v>
      </c>
    </row>
    <row r="29" spans="1:19" x14ac:dyDescent="0.25">
      <c r="A29" s="6">
        <f>'[1]Cash Variance'!A30</f>
        <v>45866</v>
      </c>
      <c r="B29" s="7">
        <v>3029.89</v>
      </c>
      <c r="C29" s="7">
        <v>120.96</v>
      </c>
      <c r="D29" s="8">
        <v>200.77</v>
      </c>
      <c r="E29" s="27">
        <v>5.42</v>
      </c>
      <c r="F29" s="9">
        <f t="shared" si="2"/>
        <v>3357.04</v>
      </c>
      <c r="G29" s="8">
        <v>1203.98</v>
      </c>
      <c r="H29" s="8">
        <v>1342.61</v>
      </c>
      <c r="I29" s="8">
        <v>0</v>
      </c>
      <c r="J29" s="8">
        <v>654.89</v>
      </c>
      <c r="K29" s="8">
        <v>61.4</v>
      </c>
      <c r="L29" s="8">
        <v>95.65</v>
      </c>
      <c r="M29" s="27">
        <v>0</v>
      </c>
      <c r="N29" s="30">
        <f t="shared" si="3"/>
        <v>3358.53</v>
      </c>
      <c r="O29" s="30">
        <f t="shared" si="0"/>
        <v>-1.4900000000002365</v>
      </c>
      <c r="P29" s="27"/>
      <c r="Q29" s="10"/>
      <c r="R29" s="11"/>
      <c r="S29" s="12">
        <f t="shared" si="1"/>
        <v>-1203.98</v>
      </c>
    </row>
    <row r="30" spans="1:19" x14ac:dyDescent="0.25">
      <c r="A30" s="6">
        <f>'[1]Cash Variance'!A31</f>
        <v>45867</v>
      </c>
      <c r="B30" s="7">
        <v>3369.17</v>
      </c>
      <c r="C30" s="7">
        <v>223.49</v>
      </c>
      <c r="D30" s="8">
        <v>223.21</v>
      </c>
      <c r="E30" s="27">
        <v>17.98</v>
      </c>
      <c r="F30" s="9">
        <f t="shared" si="2"/>
        <v>3833.85</v>
      </c>
      <c r="G30" s="8">
        <v>1116.77</v>
      </c>
      <c r="H30" s="8">
        <v>1618.86</v>
      </c>
      <c r="I30" s="8">
        <v>0</v>
      </c>
      <c r="J30" s="8">
        <v>864.86</v>
      </c>
      <c r="K30" s="8">
        <v>49</v>
      </c>
      <c r="L30" s="8">
        <v>185.88</v>
      </c>
      <c r="M30" s="27">
        <v>0</v>
      </c>
      <c r="N30" s="30">
        <f t="shared" si="3"/>
        <v>3835.3700000000003</v>
      </c>
      <c r="O30" s="30">
        <f t="shared" si="0"/>
        <v>-1.5200000000004366</v>
      </c>
      <c r="P30" s="35"/>
      <c r="Q30" s="10"/>
      <c r="R30" s="11"/>
      <c r="S30" s="12">
        <f t="shared" si="1"/>
        <v>-1116.77</v>
      </c>
    </row>
    <row r="31" spans="1:19" x14ac:dyDescent="0.25">
      <c r="A31" s="6">
        <f>'[1]Cash Variance'!A32</f>
        <v>45868</v>
      </c>
      <c r="B31" s="7">
        <v>3446.26</v>
      </c>
      <c r="C31" s="7">
        <v>182.91</v>
      </c>
      <c r="D31" s="8">
        <v>228.22</v>
      </c>
      <c r="E31" s="27">
        <v>41.35</v>
      </c>
      <c r="F31" s="9">
        <f t="shared" si="2"/>
        <v>3898.74</v>
      </c>
      <c r="G31" s="8">
        <v>1135.4100000000001</v>
      </c>
      <c r="H31" s="8">
        <f>1919.74-3.42</f>
        <v>1916.32</v>
      </c>
      <c r="I31" s="8">
        <v>0</v>
      </c>
      <c r="J31" s="8">
        <v>581.02</v>
      </c>
      <c r="K31" s="8">
        <v>94.69</v>
      </c>
      <c r="L31" s="8">
        <v>171.3</v>
      </c>
      <c r="M31" s="27">
        <v>0</v>
      </c>
      <c r="N31" s="30">
        <f t="shared" si="3"/>
        <v>3898.7400000000002</v>
      </c>
      <c r="O31" s="30">
        <f t="shared" si="0"/>
        <v>0</v>
      </c>
      <c r="P31" s="27"/>
      <c r="Q31" s="10"/>
      <c r="R31" s="11"/>
      <c r="S31" s="12">
        <f t="shared" si="1"/>
        <v>-1135.4100000000001</v>
      </c>
    </row>
    <row r="32" spans="1:19" ht="15.75" thickBot="1" x14ac:dyDescent="0.3">
      <c r="A32" s="6">
        <f>'[1]Cash Variance'!A33</f>
        <v>45869</v>
      </c>
      <c r="B32" s="18">
        <v>3594.28</v>
      </c>
      <c r="C32" s="18">
        <v>301.54000000000002</v>
      </c>
      <c r="D32" s="19">
        <v>238.08</v>
      </c>
      <c r="E32" s="28">
        <v>13.38</v>
      </c>
      <c r="F32" s="9">
        <f t="shared" si="2"/>
        <v>4147.2800000000007</v>
      </c>
      <c r="G32" s="19">
        <v>1189.48</v>
      </c>
      <c r="H32" s="19">
        <f>1856.78-7.34</f>
        <v>1849.44</v>
      </c>
      <c r="I32" s="19">
        <v>24.49</v>
      </c>
      <c r="J32" s="19">
        <v>713.92</v>
      </c>
      <c r="K32" s="19">
        <v>71.31</v>
      </c>
      <c r="L32" s="19">
        <v>298.64</v>
      </c>
      <c r="M32" s="28">
        <v>0</v>
      </c>
      <c r="N32" s="30">
        <f t="shared" si="3"/>
        <v>4147.28</v>
      </c>
      <c r="O32" s="30">
        <f t="shared" si="0"/>
        <v>0</v>
      </c>
      <c r="P32" s="27"/>
      <c r="Q32" s="10"/>
      <c r="R32" s="11"/>
      <c r="S32" s="12">
        <f t="shared" si="1"/>
        <v>-1189.48</v>
      </c>
    </row>
    <row r="33" spans="1:19" ht="15.75" thickBot="1" x14ac:dyDescent="0.3">
      <c r="A33" s="20" t="s">
        <v>8</v>
      </c>
      <c r="B33" s="21">
        <f t="shared" ref="B33:H33" si="4">SUM(B2:B32)</f>
        <v>115657.93</v>
      </c>
      <c r="C33" s="21">
        <f t="shared" si="4"/>
        <v>5513.78</v>
      </c>
      <c r="D33" s="21">
        <f t="shared" si="4"/>
        <v>7658.7400000000007</v>
      </c>
      <c r="E33" s="29">
        <f t="shared" si="4"/>
        <v>916.81999999999994</v>
      </c>
      <c r="F33" s="22">
        <f t="shared" si="4"/>
        <v>129747.27</v>
      </c>
      <c r="G33" s="21">
        <f t="shared" si="4"/>
        <v>39432.280000000013</v>
      </c>
      <c r="H33" s="21">
        <f t="shared" si="4"/>
        <v>58017.360000000008</v>
      </c>
      <c r="I33" s="21">
        <f t="shared" ref="I33:M33" si="5">SUM(I2:I32)</f>
        <v>401.85</v>
      </c>
      <c r="J33" s="21">
        <f>SUM(J2:J32)</f>
        <v>25031.150000000005</v>
      </c>
      <c r="K33" s="21">
        <f>SUM(K2:K32)</f>
        <v>1957.1</v>
      </c>
      <c r="L33" s="21">
        <f>SUM(L2:L32)</f>
        <v>4877.5</v>
      </c>
      <c r="M33" s="29">
        <f t="shared" si="5"/>
        <v>33.33</v>
      </c>
      <c r="N33" s="31">
        <f>SUM(N2:N32)</f>
        <v>129750.56999999999</v>
      </c>
      <c r="O33" s="31">
        <f t="shared" ref="O33:R33" si="6">SUM(O2:O32)</f>
        <v>-3.3000000000015461</v>
      </c>
      <c r="P33" s="29">
        <f>SUM(P2:P32)</f>
        <v>27485</v>
      </c>
      <c r="Q33" s="21"/>
      <c r="R33" s="21">
        <f t="shared" si="6"/>
        <v>-850</v>
      </c>
      <c r="S33" s="22">
        <f>SUM(S2:S32)</f>
        <v>-11097.28</v>
      </c>
    </row>
    <row r="34" spans="1:19" x14ac:dyDescent="0.25">
      <c r="A34" s="23" t="s">
        <v>0</v>
      </c>
      <c r="B34" s="24">
        <f>+B33</f>
        <v>115657.93</v>
      </c>
      <c r="C34" s="24">
        <f>+C33</f>
        <v>5513.78</v>
      </c>
      <c r="D34" s="24">
        <f>+D33</f>
        <v>7658.7400000000007</v>
      </c>
      <c r="E34" s="24">
        <f>+E33</f>
        <v>916.81999999999994</v>
      </c>
      <c r="F34" s="23"/>
      <c r="G34" s="24">
        <f>+G33</f>
        <v>39432.280000000013</v>
      </c>
      <c r="H34" s="23"/>
      <c r="I34" s="23"/>
      <c r="J34" s="24">
        <f>+J33</f>
        <v>25031.150000000005</v>
      </c>
      <c r="K34" s="24">
        <f>+K33</f>
        <v>1957.1</v>
      </c>
      <c r="L34" s="24">
        <f>+L33</f>
        <v>4877.5</v>
      </c>
      <c r="M34" s="24">
        <f>+M33</f>
        <v>33.33</v>
      </c>
      <c r="N34" s="23"/>
      <c r="O34" s="23"/>
      <c r="P34" s="23"/>
    </row>
    <row r="35" spans="1:19" x14ac:dyDescent="0.25">
      <c r="A35" s="25" t="s">
        <v>9</v>
      </c>
      <c r="B35" s="25">
        <v>115657.93</v>
      </c>
      <c r="C35" s="25">
        <v>5513.78</v>
      </c>
      <c r="D35" s="25">
        <v>7658.74</v>
      </c>
      <c r="E35" s="25">
        <v>916.82</v>
      </c>
      <c r="F35" s="25"/>
      <c r="G35" s="25">
        <v>39432.28</v>
      </c>
      <c r="H35" s="25"/>
      <c r="I35" s="25"/>
      <c r="J35" s="25">
        <v>25031.15</v>
      </c>
      <c r="K35" s="25">
        <v>1957.1</v>
      </c>
      <c r="L35" s="25">
        <v>4877.5</v>
      </c>
      <c r="M35" s="25">
        <v>33.33</v>
      </c>
      <c r="N35" s="25"/>
      <c r="O35" s="25"/>
      <c r="P35" s="2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2025-08-20T11:17:12Z</dcterms:created>
  <dcterms:modified xsi:type="dcterms:W3CDTF">2025-10-08T07:14:29Z</dcterms:modified>
</cp:coreProperties>
</file>