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35140806-28DB-4358-BDFF-F98C639E0F8E}" xr6:coauthVersionLast="47" xr6:coauthVersionMax="47" xr10:uidLastSave="{00000000-0000-0000-0000-000000000000}"/>
  <bookViews>
    <workbookView xWindow="-120" yWindow="-120" windowWidth="20730" windowHeight="11040" xr2:uid="{697DFD6F-B307-40AA-B1B6-C38D24A7B94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G35" i="1"/>
  <c r="A2" i="1"/>
  <c r="J41" i="1"/>
  <c r="K39" i="1"/>
  <c r="L38" i="1"/>
  <c r="L41" i="1" s="1"/>
  <c r="K38" i="1"/>
  <c r="L36" i="1"/>
  <c r="L37" i="1" s="1"/>
  <c r="K36" i="1"/>
  <c r="M35" i="1"/>
  <c r="M34" i="1"/>
  <c r="L34" i="1"/>
  <c r="R33" i="1"/>
  <c r="M33" i="1"/>
  <c r="L33" i="1"/>
  <c r="L35" i="1" s="1"/>
  <c r="K33" i="1"/>
  <c r="K34" i="1" s="1"/>
  <c r="J33" i="1"/>
  <c r="J37" i="1" s="1"/>
  <c r="I33" i="1"/>
  <c r="G33" i="1"/>
  <c r="G34" i="1" s="1"/>
  <c r="E33" i="1"/>
  <c r="E35" i="1" s="1"/>
  <c r="D33" i="1"/>
  <c r="D35" i="1" s="1"/>
  <c r="C33" i="1"/>
  <c r="C35" i="1" s="1"/>
  <c r="B33" i="1"/>
  <c r="B35" i="1" s="1"/>
  <c r="S32" i="1"/>
  <c r="N32" i="1"/>
  <c r="O32" i="1" s="1"/>
  <c r="F32" i="1"/>
  <c r="A32" i="1"/>
  <c r="S31" i="1"/>
  <c r="N31" i="1"/>
  <c r="F31" i="1"/>
  <c r="O31" i="1" s="1"/>
  <c r="A31" i="1"/>
  <c r="S30" i="1"/>
  <c r="N30" i="1"/>
  <c r="F30" i="1"/>
  <c r="A30" i="1"/>
  <c r="S29" i="1"/>
  <c r="N29" i="1"/>
  <c r="F29" i="1"/>
  <c r="A29" i="1"/>
  <c r="S28" i="1"/>
  <c r="N28" i="1"/>
  <c r="F28" i="1"/>
  <c r="A28" i="1"/>
  <c r="S27" i="1"/>
  <c r="H27" i="1"/>
  <c r="N27" i="1" s="1"/>
  <c r="F27" i="1"/>
  <c r="O27" i="1" s="1"/>
  <c r="A27" i="1"/>
  <c r="S26" i="1"/>
  <c r="N26" i="1"/>
  <c r="O26" i="1" s="1"/>
  <c r="H26" i="1"/>
  <c r="F26" i="1"/>
  <c r="A26" i="1"/>
  <c r="S25" i="1"/>
  <c r="H25" i="1"/>
  <c r="N25" i="1" s="1"/>
  <c r="F25" i="1"/>
  <c r="A25" i="1"/>
  <c r="S24" i="1"/>
  <c r="H24" i="1"/>
  <c r="N24" i="1" s="1"/>
  <c r="F24" i="1"/>
  <c r="O24" i="1" s="1"/>
  <c r="A24" i="1"/>
  <c r="S23" i="1"/>
  <c r="H23" i="1"/>
  <c r="N23" i="1" s="1"/>
  <c r="O23" i="1" s="1"/>
  <c r="F23" i="1"/>
  <c r="A23" i="1"/>
  <c r="S22" i="1"/>
  <c r="N22" i="1"/>
  <c r="F22" i="1"/>
  <c r="A22" i="1"/>
  <c r="S21" i="1"/>
  <c r="N21" i="1"/>
  <c r="F21" i="1"/>
  <c r="A21" i="1"/>
  <c r="S20" i="1"/>
  <c r="N20" i="1"/>
  <c r="F20" i="1"/>
  <c r="O20" i="1" s="1"/>
  <c r="A20" i="1"/>
  <c r="S19" i="1"/>
  <c r="H19" i="1"/>
  <c r="N19" i="1" s="1"/>
  <c r="F19" i="1"/>
  <c r="A19" i="1"/>
  <c r="S18" i="1"/>
  <c r="H18" i="1"/>
  <c r="N18" i="1" s="1"/>
  <c r="F18" i="1"/>
  <c r="A18" i="1"/>
  <c r="S17" i="1"/>
  <c r="H17" i="1"/>
  <c r="N17" i="1" s="1"/>
  <c r="F17" i="1"/>
  <c r="O17" i="1" s="1"/>
  <c r="A17" i="1"/>
  <c r="S16" i="1"/>
  <c r="H16" i="1"/>
  <c r="N16" i="1" s="1"/>
  <c r="F16" i="1"/>
  <c r="O16" i="1" s="1"/>
  <c r="A16" i="1"/>
  <c r="S15" i="1"/>
  <c r="H15" i="1"/>
  <c r="N15" i="1" s="1"/>
  <c r="O15" i="1" s="1"/>
  <c r="F15" i="1"/>
  <c r="A15" i="1"/>
  <c r="S14" i="1"/>
  <c r="H14" i="1"/>
  <c r="N14" i="1" s="1"/>
  <c r="F14" i="1"/>
  <c r="O14" i="1" s="1"/>
  <c r="A14" i="1"/>
  <c r="S13" i="1"/>
  <c r="H13" i="1"/>
  <c r="N13" i="1" s="1"/>
  <c r="F13" i="1"/>
  <c r="A13" i="1"/>
  <c r="S12" i="1"/>
  <c r="N12" i="1"/>
  <c r="H12" i="1"/>
  <c r="F12" i="1"/>
  <c r="O12" i="1" s="1"/>
  <c r="A12" i="1"/>
  <c r="S11" i="1"/>
  <c r="H11" i="1"/>
  <c r="N11" i="1" s="1"/>
  <c r="O11" i="1" s="1"/>
  <c r="F11" i="1"/>
  <c r="A11" i="1"/>
  <c r="S10" i="1"/>
  <c r="H10" i="1"/>
  <c r="N10" i="1" s="1"/>
  <c r="F10" i="1"/>
  <c r="O10" i="1" s="1"/>
  <c r="A10" i="1"/>
  <c r="S9" i="1"/>
  <c r="H9" i="1"/>
  <c r="N9" i="1" s="1"/>
  <c r="F9" i="1"/>
  <c r="A9" i="1"/>
  <c r="S8" i="1"/>
  <c r="H8" i="1"/>
  <c r="N8" i="1" s="1"/>
  <c r="O8" i="1" s="1"/>
  <c r="F8" i="1"/>
  <c r="A8" i="1"/>
  <c r="S7" i="1"/>
  <c r="H7" i="1"/>
  <c r="N7" i="1" s="1"/>
  <c r="F7" i="1"/>
  <c r="A7" i="1"/>
  <c r="S6" i="1"/>
  <c r="H6" i="1"/>
  <c r="N6" i="1" s="1"/>
  <c r="F6" i="1"/>
  <c r="A6" i="1"/>
  <c r="S5" i="1"/>
  <c r="H5" i="1"/>
  <c r="N5" i="1" s="1"/>
  <c r="F5" i="1"/>
  <c r="O5" i="1" s="1"/>
  <c r="A5" i="1"/>
  <c r="S4" i="1"/>
  <c r="H4" i="1"/>
  <c r="N4" i="1" s="1"/>
  <c r="O4" i="1" s="1"/>
  <c r="F4" i="1"/>
  <c r="A4" i="1"/>
  <c r="S3" i="1"/>
  <c r="H3" i="1"/>
  <c r="N3" i="1" s="1"/>
  <c r="F3" i="1"/>
  <c r="A3" i="1"/>
  <c r="S2" i="1"/>
  <c r="S33" i="1" s="1"/>
  <c r="H2" i="1"/>
  <c r="N2" i="1" s="1"/>
  <c r="F2" i="1"/>
  <c r="F33" i="1" s="1"/>
  <c r="N33" i="1" l="1"/>
  <c r="H33" i="1"/>
  <c r="O3" i="1"/>
  <c r="O19" i="1"/>
  <c r="O21" i="1"/>
  <c r="O25" i="1"/>
  <c r="J35" i="1"/>
  <c r="O7" i="1"/>
  <c r="O29" i="1"/>
  <c r="K41" i="1"/>
  <c r="K35" i="1"/>
  <c r="O9" i="1"/>
  <c r="O18" i="1"/>
  <c r="J34" i="1"/>
  <c r="K37" i="1"/>
  <c r="O22" i="1"/>
  <c r="O28" i="1"/>
  <c r="O30" i="1"/>
  <c r="O6" i="1"/>
  <c r="O13" i="1"/>
  <c r="B34" i="1"/>
  <c r="O2" i="1"/>
  <c r="C34" i="1"/>
  <c r="D34" i="1"/>
  <c r="E34" i="1"/>
  <c r="O33" i="1" l="1"/>
</calcChain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<sst xmlns="http://schemas.openxmlformats.org/spreadsheetml/2006/main" count="28" uniqueCount="28">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</sst>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0" fontId="5" fillId="2" borderId="11" xfId="0" applyFont="1" applyFill="1" applyBorder="1" applyAlignment="1">
      <alignment horizontal="center"/>
    </xf>
    <xf numFmtId="165" fontId="5" fillId="2" borderId="12" xfId="0" applyNumberFormat="1" applyFont="1" applyFill="1" applyBorder="1" applyAlignment="1">
      <alignment horizontal="right"/>
    </xf>
    <xf numFmtId="165" fontId="5" fillId="3" borderId="12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165" fontId="0" fillId="5" borderId="15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04C6-A3AA-49E8-9D4A-82B61499F5B0}">
  <dimension ref="A1:S42"/>
  <sheetViews>
    <sheetView tabSelected="1" workbookViewId="0"/>
  </sheetViews>
  <sheetFormatPr defaultRowHeight="15" x14ac:dyDescent="0.25"/>
  <cols>
    <col min="1" max="1" width="10.42578125" bestFit="1" customWidth="1"/>
    <col min="2" max="2" width="10.85546875" bestFit="1" customWidth="1"/>
    <col min="4" max="4" width="9.85546875" bestFit="1" customWidth="1"/>
    <col min="6" max="8" width="10.85546875" bestFit="1" customWidth="1"/>
    <col min="10" max="10" width="10.85546875" bestFit="1" customWidth="1"/>
    <col min="11" max="12" width="9.85546875" bestFit="1" customWidth="1"/>
    <col min="14" max="14" width="10.85546875" bestFit="1" customWidth="1"/>
    <col min="15" max="15" width="12.7109375" customWidth="1"/>
    <col min="16" max="16" width="17.7109375" customWidth="1"/>
    <col min="17" max="17" width="10.42578125" bestFit="1" customWidth="1"/>
    <col min="19" max="19" width="10.5703125" bestFit="1" customWidth="1"/>
  </cols>
  <sheetData>
    <row r="1" spans="1:19" ht="48" thickBot="1" x14ac:dyDescent="0.3">
      <c r="A1" s="34" t="s">
        <v>27</v>
      </c>
      <c r="B1" s="1" t="s">
        <v>16</v>
      </c>
      <c r="C1" s="1" t="s">
        <v>17</v>
      </c>
      <c r="D1" s="2" t="s">
        <v>18</v>
      </c>
      <c r="E1" s="2" t="s">
        <v>19</v>
      </c>
      <c r="F1" s="3" t="s">
        <v>20</v>
      </c>
      <c r="G1" s="2" t="s">
        <v>21</v>
      </c>
      <c r="H1" s="2" t="s">
        <v>22</v>
      </c>
      <c r="I1" s="2" t="s">
        <v>1</v>
      </c>
      <c r="J1" s="4" t="s">
        <v>2</v>
      </c>
      <c r="K1" s="4" t="s">
        <v>3</v>
      </c>
      <c r="L1" s="4" t="s">
        <v>23</v>
      </c>
      <c r="M1" s="2" t="s">
        <v>24</v>
      </c>
      <c r="N1" s="5" t="s">
        <v>4</v>
      </c>
      <c r="O1" s="5" t="s">
        <v>5</v>
      </c>
      <c r="P1" s="2" t="s">
        <v>26</v>
      </c>
      <c r="Q1" s="2" t="s">
        <v>6</v>
      </c>
      <c r="R1" s="2" t="s">
        <v>7</v>
      </c>
      <c r="S1" s="5" t="s">
        <v>25</v>
      </c>
    </row>
    <row r="2" spans="1:19" x14ac:dyDescent="0.25">
      <c r="A2" s="6">
        <f>'[1]Cash Variance'!A3</f>
        <v>45839</v>
      </c>
      <c r="B2" s="7">
        <v>2998.34</v>
      </c>
      <c r="C2" s="7">
        <v>13.27</v>
      </c>
      <c r="D2" s="8">
        <v>240.04</v>
      </c>
      <c r="E2" s="8">
        <v>6.52</v>
      </c>
      <c r="F2" s="9">
        <f>SUM(B2:E2)</f>
        <v>3258.17</v>
      </c>
      <c r="G2" s="8">
        <v>894.05</v>
      </c>
      <c r="H2" s="8">
        <f>1394.58-8.68</f>
        <v>1385.8999999999999</v>
      </c>
      <c r="I2" s="8">
        <v>12.14</v>
      </c>
      <c r="J2" s="8">
        <v>651.55999999999995</v>
      </c>
      <c r="K2" s="8">
        <v>140.28</v>
      </c>
      <c r="L2" s="8">
        <v>174.24</v>
      </c>
      <c r="M2" s="8">
        <v>0</v>
      </c>
      <c r="N2" s="10">
        <f t="shared" ref="N2:N24" si="0">SUM(G2:M2)</f>
        <v>3258.17</v>
      </c>
      <c r="O2" s="10">
        <f t="shared" ref="O2:O32" si="1">+F2-N2</f>
        <v>0</v>
      </c>
      <c r="P2" s="8">
        <v>1003.73</v>
      </c>
      <c r="Q2" s="11">
        <v>45841</v>
      </c>
      <c r="R2" s="12"/>
      <c r="S2" s="13">
        <f t="shared" ref="S2:S32" si="2">P2-G2-R2</f>
        <v>109.68000000000006</v>
      </c>
    </row>
    <row r="3" spans="1:19" x14ac:dyDescent="0.25">
      <c r="A3" s="6">
        <f>'[1]Cash Variance'!A4</f>
        <v>45840</v>
      </c>
      <c r="B3" s="7">
        <v>3161.25</v>
      </c>
      <c r="C3" s="7">
        <v>13.62</v>
      </c>
      <c r="D3" s="8">
        <v>253.06</v>
      </c>
      <c r="E3" s="8">
        <v>11</v>
      </c>
      <c r="F3" s="9">
        <f t="shared" ref="F3:F32" si="3">SUM(B3:E3)</f>
        <v>3438.93</v>
      </c>
      <c r="G3" s="8">
        <v>1049.31</v>
      </c>
      <c r="H3" s="8">
        <f>1354.21-16.57</f>
        <v>1337.64</v>
      </c>
      <c r="I3" s="8">
        <v>9.7100000000000009</v>
      </c>
      <c r="J3" s="8">
        <v>653.80999999999995</v>
      </c>
      <c r="K3" s="8">
        <v>0</v>
      </c>
      <c r="L3" s="8">
        <v>388.46</v>
      </c>
      <c r="M3" s="8">
        <v>0</v>
      </c>
      <c r="N3" s="10">
        <f t="shared" si="0"/>
        <v>3438.93</v>
      </c>
      <c r="O3" s="10">
        <f t="shared" si="1"/>
        <v>0</v>
      </c>
      <c r="P3" s="14">
        <v>964.74</v>
      </c>
      <c r="Q3" s="11">
        <v>45841</v>
      </c>
      <c r="R3" s="12"/>
      <c r="S3" s="13">
        <f t="shared" si="2"/>
        <v>-84.569999999999936</v>
      </c>
    </row>
    <row r="4" spans="1:19" x14ac:dyDescent="0.25">
      <c r="A4" s="6">
        <f>'[1]Cash Variance'!A5</f>
        <v>45841</v>
      </c>
      <c r="B4" s="7">
        <v>2845.07</v>
      </c>
      <c r="C4" s="8">
        <v>19.47</v>
      </c>
      <c r="D4" s="8">
        <v>227.74</v>
      </c>
      <c r="E4" s="8">
        <v>16.440000000000001</v>
      </c>
      <c r="F4" s="9">
        <f t="shared" si="3"/>
        <v>3108.72</v>
      </c>
      <c r="G4" s="8">
        <v>691.23</v>
      </c>
      <c r="H4" s="8">
        <f>1556.72-17.54</f>
        <v>1539.18</v>
      </c>
      <c r="I4" s="8">
        <v>2.91</v>
      </c>
      <c r="J4" s="8">
        <v>600.25</v>
      </c>
      <c r="K4" s="8">
        <v>38.92</v>
      </c>
      <c r="L4" s="8">
        <v>236.23</v>
      </c>
      <c r="M4" s="8">
        <v>0</v>
      </c>
      <c r="N4" s="10">
        <f t="shared" si="0"/>
        <v>3108.72</v>
      </c>
      <c r="O4" s="10">
        <f t="shared" si="1"/>
        <v>0</v>
      </c>
      <c r="P4" s="8">
        <v>698.13</v>
      </c>
      <c r="Q4" s="11">
        <v>45845</v>
      </c>
      <c r="R4" s="12"/>
      <c r="S4" s="13">
        <f t="shared" si="2"/>
        <v>6.8999999999999773</v>
      </c>
    </row>
    <row r="5" spans="1:19" x14ac:dyDescent="0.25">
      <c r="A5" s="6">
        <f>'[1]Cash Variance'!A6</f>
        <v>45842</v>
      </c>
      <c r="B5" s="7">
        <v>1397.91</v>
      </c>
      <c r="C5" s="7">
        <v>9.59</v>
      </c>
      <c r="D5" s="8">
        <v>111.9</v>
      </c>
      <c r="E5" s="8">
        <v>16.86</v>
      </c>
      <c r="F5" s="9">
        <f t="shared" si="3"/>
        <v>1536.26</v>
      </c>
      <c r="G5" s="8">
        <v>178.21</v>
      </c>
      <c r="H5" s="8">
        <f>784.63-14.75</f>
        <v>769.88</v>
      </c>
      <c r="I5" s="8">
        <v>0</v>
      </c>
      <c r="J5" s="8">
        <v>410</v>
      </c>
      <c r="K5" s="8">
        <v>5.8</v>
      </c>
      <c r="L5" s="8">
        <v>172.37</v>
      </c>
      <c r="M5" s="8">
        <v>0</v>
      </c>
      <c r="N5" s="10">
        <f t="shared" si="0"/>
        <v>1536.2600000000002</v>
      </c>
      <c r="O5" s="10">
        <f t="shared" si="1"/>
        <v>0</v>
      </c>
      <c r="P5" s="8">
        <v>178.14</v>
      </c>
      <c r="Q5" s="11">
        <v>45845</v>
      </c>
      <c r="R5" s="12"/>
      <c r="S5" s="13">
        <f t="shared" si="2"/>
        <v>-7.00000000000216E-2</v>
      </c>
    </row>
    <row r="6" spans="1:19" x14ac:dyDescent="0.25">
      <c r="A6" s="6">
        <f>'[1]Cash Variance'!A7</f>
        <v>45843</v>
      </c>
      <c r="B6" s="7">
        <v>1808</v>
      </c>
      <c r="C6" s="7">
        <v>3.48</v>
      </c>
      <c r="D6" s="8">
        <v>144.77000000000001</v>
      </c>
      <c r="E6" s="8">
        <v>13.54</v>
      </c>
      <c r="F6" s="9">
        <f t="shared" si="3"/>
        <v>1969.79</v>
      </c>
      <c r="G6" s="8">
        <v>628.80999999999995</v>
      </c>
      <c r="H6" s="8">
        <f>892.06-2.77</f>
        <v>889.29</v>
      </c>
      <c r="I6" s="8">
        <v>28.52</v>
      </c>
      <c r="J6" s="8">
        <v>362.74</v>
      </c>
      <c r="K6" s="8">
        <v>18.059999999999999</v>
      </c>
      <c r="L6" s="8">
        <v>42.37</v>
      </c>
      <c r="M6" s="8">
        <v>0</v>
      </c>
      <c r="N6" s="10">
        <f t="shared" si="0"/>
        <v>1969.7899999999997</v>
      </c>
      <c r="O6" s="10">
        <f t="shared" si="1"/>
        <v>0</v>
      </c>
      <c r="P6" s="8">
        <v>626.22</v>
      </c>
      <c r="Q6" s="11">
        <v>45846</v>
      </c>
      <c r="R6" s="12"/>
      <c r="S6" s="13">
        <f t="shared" si="2"/>
        <v>-2.5899999999999181</v>
      </c>
    </row>
    <row r="7" spans="1:19" x14ac:dyDescent="0.25">
      <c r="A7" s="6">
        <f>'[1]Cash Variance'!A8</f>
        <v>45844</v>
      </c>
      <c r="B7" s="7">
        <v>2413.56</v>
      </c>
      <c r="C7" s="7">
        <v>13.3</v>
      </c>
      <c r="D7" s="8">
        <v>193.23</v>
      </c>
      <c r="E7" s="8">
        <v>5.78</v>
      </c>
      <c r="F7" s="9">
        <f t="shared" si="3"/>
        <v>2625.8700000000003</v>
      </c>
      <c r="G7" s="8">
        <v>678.4</v>
      </c>
      <c r="H7" s="8">
        <f>1336.07-2.65</f>
        <v>1333.4199999999998</v>
      </c>
      <c r="I7" s="8">
        <v>0</v>
      </c>
      <c r="J7" s="8">
        <v>454.97</v>
      </c>
      <c r="K7" s="8">
        <v>42.08</v>
      </c>
      <c r="L7" s="8">
        <v>117</v>
      </c>
      <c r="M7" s="8">
        <v>0</v>
      </c>
      <c r="N7" s="10">
        <f t="shared" si="0"/>
        <v>2625.87</v>
      </c>
      <c r="O7" s="10">
        <f t="shared" si="1"/>
        <v>0</v>
      </c>
      <c r="P7" s="8">
        <v>678.26</v>
      </c>
      <c r="Q7" s="11">
        <v>45846</v>
      </c>
      <c r="R7" s="12"/>
      <c r="S7" s="13">
        <f t="shared" si="2"/>
        <v>-0.13999999999998636</v>
      </c>
    </row>
    <row r="8" spans="1:19" x14ac:dyDescent="0.25">
      <c r="A8" s="6">
        <f>'[1]Cash Variance'!A9</f>
        <v>45845</v>
      </c>
      <c r="B8" s="7">
        <v>2194.16</v>
      </c>
      <c r="C8" s="7">
        <v>18.940000000000001</v>
      </c>
      <c r="D8" s="8">
        <v>175.63</v>
      </c>
      <c r="E8" s="8">
        <v>14.96</v>
      </c>
      <c r="F8" s="9">
        <f t="shared" si="3"/>
        <v>2403.69</v>
      </c>
      <c r="G8" s="8">
        <v>533.55999999999995</v>
      </c>
      <c r="H8" s="8">
        <f>1338.58-8.09</f>
        <v>1330.49</v>
      </c>
      <c r="I8" s="8">
        <v>0</v>
      </c>
      <c r="J8" s="8">
        <v>381</v>
      </c>
      <c r="K8" s="8">
        <v>0</v>
      </c>
      <c r="L8" s="8">
        <v>158.63999999999999</v>
      </c>
      <c r="M8" s="8">
        <v>0</v>
      </c>
      <c r="N8" s="10">
        <f t="shared" si="0"/>
        <v>2403.69</v>
      </c>
      <c r="O8" s="10">
        <f t="shared" si="1"/>
        <v>0</v>
      </c>
      <c r="P8" s="8">
        <v>500.22</v>
      </c>
      <c r="Q8" s="11">
        <v>45846</v>
      </c>
      <c r="R8" s="12"/>
      <c r="S8" s="13">
        <f t="shared" si="2"/>
        <v>-33.339999999999918</v>
      </c>
    </row>
    <row r="9" spans="1:19" x14ac:dyDescent="0.25">
      <c r="A9" s="6">
        <f>'[1]Cash Variance'!A10</f>
        <v>45846</v>
      </c>
      <c r="B9" s="7">
        <v>1564.55</v>
      </c>
      <c r="C9" s="8">
        <v>12.66</v>
      </c>
      <c r="D9" s="15">
        <v>125.27</v>
      </c>
      <c r="E9" s="8">
        <v>16.37</v>
      </c>
      <c r="F9" s="9">
        <f t="shared" si="3"/>
        <v>1718.85</v>
      </c>
      <c r="G9" s="8">
        <v>366.06</v>
      </c>
      <c r="H9" s="8">
        <f>776.58-4.15</f>
        <v>772.43000000000006</v>
      </c>
      <c r="I9" s="8">
        <v>56.46</v>
      </c>
      <c r="J9" s="8">
        <v>399.58</v>
      </c>
      <c r="K9" s="8">
        <v>30.35</v>
      </c>
      <c r="L9" s="8">
        <v>93.97</v>
      </c>
      <c r="M9" s="8">
        <v>0</v>
      </c>
      <c r="N9" s="10">
        <f t="shared" si="0"/>
        <v>1718.85</v>
      </c>
      <c r="O9" s="10">
        <f t="shared" si="1"/>
        <v>0</v>
      </c>
      <c r="P9" s="8">
        <v>364.89</v>
      </c>
      <c r="Q9" s="11">
        <v>45849</v>
      </c>
      <c r="R9" s="12"/>
      <c r="S9" s="13">
        <f t="shared" si="2"/>
        <v>-1.1700000000000159</v>
      </c>
    </row>
    <row r="10" spans="1:19" x14ac:dyDescent="0.25">
      <c r="A10" s="6">
        <f>'[1]Cash Variance'!A11</f>
        <v>45847</v>
      </c>
      <c r="B10" s="7">
        <v>1742.59</v>
      </c>
      <c r="C10" s="7">
        <v>9.9700000000000006</v>
      </c>
      <c r="D10" s="15">
        <v>139.5</v>
      </c>
      <c r="E10" s="8">
        <v>3.87</v>
      </c>
      <c r="F10" s="9">
        <f t="shared" si="3"/>
        <v>1895.9299999999998</v>
      </c>
      <c r="G10" s="8">
        <v>495.52</v>
      </c>
      <c r="H10" s="8">
        <f>699.92-6.58</f>
        <v>693.33999999999992</v>
      </c>
      <c r="I10" s="8">
        <v>0</v>
      </c>
      <c r="J10" s="8">
        <v>444.76</v>
      </c>
      <c r="K10" s="8">
        <v>171.12</v>
      </c>
      <c r="L10" s="8">
        <v>91.19</v>
      </c>
      <c r="M10" s="8">
        <v>0</v>
      </c>
      <c r="N10" s="10">
        <f t="shared" si="0"/>
        <v>1895.9299999999998</v>
      </c>
      <c r="O10" s="10">
        <f t="shared" si="1"/>
        <v>0</v>
      </c>
      <c r="P10" s="8">
        <v>495.44</v>
      </c>
      <c r="Q10" s="11">
        <v>45849</v>
      </c>
      <c r="R10" s="12"/>
      <c r="S10" s="13">
        <f t="shared" si="2"/>
        <v>-7.9999999999984084E-2</v>
      </c>
    </row>
    <row r="11" spans="1:19" x14ac:dyDescent="0.25">
      <c r="A11" s="6">
        <f>'[1]Cash Variance'!A12</f>
        <v>45848</v>
      </c>
      <c r="B11" s="7">
        <v>2121.27</v>
      </c>
      <c r="C11" s="7">
        <v>32</v>
      </c>
      <c r="D11" s="8">
        <v>169.8</v>
      </c>
      <c r="E11" s="8">
        <v>2</v>
      </c>
      <c r="F11" s="9">
        <f t="shared" si="3"/>
        <v>2325.0700000000002</v>
      </c>
      <c r="G11" s="8">
        <v>601.04</v>
      </c>
      <c r="H11" s="8">
        <f>1079.52-3.43</f>
        <v>1076.0899999999999</v>
      </c>
      <c r="I11" s="8">
        <v>12.4</v>
      </c>
      <c r="J11" s="8">
        <v>478.43</v>
      </c>
      <c r="K11" s="8">
        <v>29.69</v>
      </c>
      <c r="L11" s="8">
        <v>127.42</v>
      </c>
      <c r="M11" s="8">
        <v>0</v>
      </c>
      <c r="N11" s="10">
        <f t="shared" si="0"/>
        <v>2325.0700000000002</v>
      </c>
      <c r="O11" s="10">
        <f t="shared" si="1"/>
        <v>0</v>
      </c>
      <c r="P11" s="8">
        <v>601.19000000000005</v>
      </c>
      <c r="Q11" s="11">
        <v>45849</v>
      </c>
      <c r="R11" s="12"/>
      <c r="S11" s="13">
        <f t="shared" si="2"/>
        <v>0.15000000000009095</v>
      </c>
    </row>
    <row r="12" spans="1:19" x14ac:dyDescent="0.25">
      <c r="A12" s="6">
        <f>'[1]Cash Variance'!A13</f>
        <v>45849</v>
      </c>
      <c r="B12" s="7">
        <v>2827.6</v>
      </c>
      <c r="C12" s="7">
        <v>8.66</v>
      </c>
      <c r="D12" s="8">
        <v>226.39</v>
      </c>
      <c r="E12" s="8">
        <v>14.07</v>
      </c>
      <c r="F12" s="9">
        <f t="shared" si="3"/>
        <v>3076.72</v>
      </c>
      <c r="G12" s="8">
        <v>799.55</v>
      </c>
      <c r="H12" s="8">
        <f>1545.36-6.59</f>
        <v>1538.77</v>
      </c>
      <c r="I12" s="8">
        <v>31.82</v>
      </c>
      <c r="J12" s="8">
        <v>513.44000000000005</v>
      </c>
      <c r="K12" s="8">
        <v>87.42</v>
      </c>
      <c r="L12" s="8">
        <v>105.72</v>
      </c>
      <c r="M12" s="8">
        <v>0</v>
      </c>
      <c r="N12" s="10">
        <f t="shared" si="0"/>
        <v>3076.72</v>
      </c>
      <c r="O12" s="10">
        <f t="shared" si="1"/>
        <v>0</v>
      </c>
      <c r="P12" s="8">
        <v>803.31</v>
      </c>
      <c r="Q12" s="11">
        <v>45854</v>
      </c>
      <c r="R12" s="16"/>
      <c r="S12" s="13">
        <f t="shared" si="2"/>
        <v>3.7599999999999909</v>
      </c>
    </row>
    <row r="13" spans="1:19" x14ac:dyDescent="0.25">
      <c r="A13" s="6">
        <f>'[1]Cash Variance'!A14</f>
        <v>45850</v>
      </c>
      <c r="B13" s="7">
        <v>2543.77</v>
      </c>
      <c r="C13" s="8">
        <v>8.98</v>
      </c>
      <c r="D13" s="8">
        <v>203.66</v>
      </c>
      <c r="E13" s="8">
        <v>7.35</v>
      </c>
      <c r="F13" s="9">
        <f t="shared" si="3"/>
        <v>2763.7599999999998</v>
      </c>
      <c r="G13" s="8">
        <v>672.3</v>
      </c>
      <c r="H13" s="8">
        <f>1294.93-16.79</f>
        <v>1278.1400000000001</v>
      </c>
      <c r="I13" s="8">
        <v>30.48</v>
      </c>
      <c r="J13" s="8">
        <v>532.97</v>
      </c>
      <c r="K13" s="8">
        <v>34.81</v>
      </c>
      <c r="L13" s="8">
        <v>215.06</v>
      </c>
      <c r="M13" s="8">
        <v>0</v>
      </c>
      <c r="N13" s="10">
        <f t="shared" si="0"/>
        <v>2763.76</v>
      </c>
      <c r="O13" s="10">
        <f t="shared" si="1"/>
        <v>0</v>
      </c>
      <c r="P13" s="8">
        <v>518.35</v>
      </c>
      <c r="Q13" s="11">
        <v>45854</v>
      </c>
      <c r="R13" s="12"/>
      <c r="S13" s="13">
        <f t="shared" si="2"/>
        <v>-153.94999999999993</v>
      </c>
    </row>
    <row r="14" spans="1:19" x14ac:dyDescent="0.25">
      <c r="A14" s="6">
        <f>'[1]Cash Variance'!A15</f>
        <v>45851</v>
      </c>
      <c r="B14" s="7">
        <v>2495.69</v>
      </c>
      <c r="C14" s="7">
        <v>41.06</v>
      </c>
      <c r="D14" s="8">
        <v>199.77</v>
      </c>
      <c r="E14" s="8">
        <v>13</v>
      </c>
      <c r="F14" s="9">
        <f t="shared" si="3"/>
        <v>2749.52</v>
      </c>
      <c r="G14" s="8">
        <v>624.97</v>
      </c>
      <c r="H14" s="8">
        <f>1305.86-14.06</f>
        <v>1291.8</v>
      </c>
      <c r="I14" s="8">
        <v>19.96</v>
      </c>
      <c r="J14" s="8">
        <v>675.55</v>
      </c>
      <c r="K14" s="8">
        <v>20.83</v>
      </c>
      <c r="L14" s="8">
        <v>116.41</v>
      </c>
      <c r="M14" s="8">
        <v>0</v>
      </c>
      <c r="N14" s="10">
        <f t="shared" si="0"/>
        <v>2749.5199999999995</v>
      </c>
      <c r="O14" s="10">
        <f t="shared" si="1"/>
        <v>0</v>
      </c>
      <c r="P14" s="8">
        <v>619.70000000000005</v>
      </c>
      <c r="Q14" s="11">
        <v>45854</v>
      </c>
      <c r="R14" s="12"/>
      <c r="S14" s="13">
        <f t="shared" si="2"/>
        <v>-5.2699999999999818</v>
      </c>
    </row>
    <row r="15" spans="1:19" x14ac:dyDescent="0.25">
      <c r="A15" s="6">
        <f>'[1]Cash Variance'!A16</f>
        <v>45852</v>
      </c>
      <c r="B15" s="7">
        <v>2215.2199999999998</v>
      </c>
      <c r="C15" s="7">
        <v>0</v>
      </c>
      <c r="D15" s="8">
        <v>177.35</v>
      </c>
      <c r="E15" s="8">
        <v>7</v>
      </c>
      <c r="F15" s="9">
        <f t="shared" si="3"/>
        <v>2399.5699999999997</v>
      </c>
      <c r="G15" s="8">
        <v>507.16</v>
      </c>
      <c r="H15" s="8">
        <f>1077.08-9.51</f>
        <v>1067.57</v>
      </c>
      <c r="I15" s="8">
        <v>40.46</v>
      </c>
      <c r="J15" s="8">
        <v>513.92999999999995</v>
      </c>
      <c r="K15" s="8">
        <v>67.2</v>
      </c>
      <c r="L15" s="8">
        <v>203.25</v>
      </c>
      <c r="M15" s="8">
        <v>0</v>
      </c>
      <c r="N15" s="10">
        <f t="shared" si="0"/>
        <v>2399.5699999999997</v>
      </c>
      <c r="O15" s="10">
        <f t="shared" si="1"/>
        <v>0</v>
      </c>
      <c r="P15" s="8">
        <v>671.5</v>
      </c>
      <c r="Q15" s="11">
        <v>45854</v>
      </c>
      <c r="R15" s="12"/>
      <c r="S15" s="13">
        <f t="shared" si="2"/>
        <v>164.33999999999997</v>
      </c>
    </row>
    <row r="16" spans="1:19" x14ac:dyDescent="0.25">
      <c r="A16" s="6">
        <f>'[1]Cash Variance'!A17</f>
        <v>45853</v>
      </c>
      <c r="B16" s="7">
        <v>2137.27</v>
      </c>
      <c r="C16" s="7">
        <v>18.03</v>
      </c>
      <c r="D16" s="8">
        <v>171.1</v>
      </c>
      <c r="E16" s="8">
        <v>14.99</v>
      </c>
      <c r="F16" s="9">
        <f t="shared" si="3"/>
        <v>2341.39</v>
      </c>
      <c r="G16" s="8">
        <v>633.09</v>
      </c>
      <c r="H16" s="8">
        <f>964.58-18.22</f>
        <v>946.36</v>
      </c>
      <c r="I16" s="8">
        <v>0</v>
      </c>
      <c r="J16" s="8">
        <v>479.08</v>
      </c>
      <c r="K16" s="8">
        <v>53.28</v>
      </c>
      <c r="L16" s="8">
        <v>229.58</v>
      </c>
      <c r="M16" s="8">
        <v>0</v>
      </c>
      <c r="N16" s="10">
        <f t="shared" si="0"/>
        <v>2341.3900000000003</v>
      </c>
      <c r="O16" s="10">
        <f t="shared" si="1"/>
        <v>0</v>
      </c>
      <c r="P16" s="8">
        <v>606.28</v>
      </c>
      <c r="Q16" s="11">
        <v>45854</v>
      </c>
      <c r="R16" s="12"/>
      <c r="S16" s="13">
        <f t="shared" si="2"/>
        <v>-26.810000000000059</v>
      </c>
    </row>
    <row r="17" spans="1:19" x14ac:dyDescent="0.25">
      <c r="A17" s="6">
        <f>'[1]Cash Variance'!A18</f>
        <v>45854</v>
      </c>
      <c r="B17" s="7">
        <v>2227.66</v>
      </c>
      <c r="C17" s="7">
        <v>22.13</v>
      </c>
      <c r="D17" s="8">
        <v>178.35</v>
      </c>
      <c r="E17" s="8">
        <v>12.34</v>
      </c>
      <c r="F17" s="9">
        <f t="shared" si="3"/>
        <v>2440.48</v>
      </c>
      <c r="G17" s="8">
        <v>627.09</v>
      </c>
      <c r="H17" s="8">
        <f>1070.13-5.49</f>
        <v>1064.6400000000001</v>
      </c>
      <c r="I17" s="8">
        <v>0</v>
      </c>
      <c r="J17" s="8">
        <v>601.27</v>
      </c>
      <c r="K17" s="8">
        <v>82.19</v>
      </c>
      <c r="L17" s="8">
        <v>65.290000000000006</v>
      </c>
      <c r="M17" s="8">
        <v>0</v>
      </c>
      <c r="N17" s="10">
        <f t="shared" si="0"/>
        <v>2440.48</v>
      </c>
      <c r="O17" s="10">
        <f t="shared" si="1"/>
        <v>0</v>
      </c>
      <c r="P17" s="8">
        <v>626.97</v>
      </c>
      <c r="Q17" s="11">
        <v>45859</v>
      </c>
      <c r="R17" s="12"/>
      <c r="S17" s="13">
        <f t="shared" si="2"/>
        <v>-0.12000000000000455</v>
      </c>
    </row>
    <row r="18" spans="1:19" x14ac:dyDescent="0.25">
      <c r="A18" s="6">
        <f>'[1]Cash Variance'!A19</f>
        <v>45855</v>
      </c>
      <c r="B18" s="7">
        <v>2512.6</v>
      </c>
      <c r="C18" s="7">
        <v>8.82</v>
      </c>
      <c r="D18" s="8">
        <v>201.15</v>
      </c>
      <c r="E18" s="8">
        <v>22.4</v>
      </c>
      <c r="F18" s="9">
        <f t="shared" si="3"/>
        <v>2744.9700000000003</v>
      </c>
      <c r="G18" s="8">
        <v>533.42999999999995</v>
      </c>
      <c r="H18" s="8">
        <f>1519.23-11.34</f>
        <v>1507.89</v>
      </c>
      <c r="I18" s="8">
        <v>63.64</v>
      </c>
      <c r="J18" s="8">
        <v>491.56</v>
      </c>
      <c r="K18" s="8">
        <v>0</v>
      </c>
      <c r="L18" s="8">
        <v>148.44999999999999</v>
      </c>
      <c r="M18" s="8">
        <v>0</v>
      </c>
      <c r="N18" s="10">
        <f t="shared" si="0"/>
        <v>2744.97</v>
      </c>
      <c r="O18" s="10">
        <f t="shared" si="1"/>
        <v>0</v>
      </c>
      <c r="P18" s="8">
        <v>536.16</v>
      </c>
      <c r="Q18" s="11">
        <v>45859</v>
      </c>
      <c r="R18" s="12"/>
      <c r="S18" s="13">
        <f t="shared" si="2"/>
        <v>2.7300000000000182</v>
      </c>
    </row>
    <row r="19" spans="1:19" x14ac:dyDescent="0.25">
      <c r="A19" s="6">
        <f>'[1]Cash Variance'!A20</f>
        <v>45856</v>
      </c>
      <c r="B19" s="7">
        <v>3035.54</v>
      </c>
      <c r="C19" s="7">
        <v>8.82</v>
      </c>
      <c r="D19" s="8">
        <v>243.02</v>
      </c>
      <c r="E19" s="8">
        <v>17.91</v>
      </c>
      <c r="F19" s="9">
        <f t="shared" si="3"/>
        <v>3305.29</v>
      </c>
      <c r="G19" s="8">
        <v>939.52</v>
      </c>
      <c r="H19" s="8">
        <f>1584.61-6.33</f>
        <v>1578.28</v>
      </c>
      <c r="I19" s="8">
        <v>0</v>
      </c>
      <c r="J19" s="8">
        <v>618.63</v>
      </c>
      <c r="K19" s="8">
        <v>89.71</v>
      </c>
      <c r="L19" s="8">
        <v>79.150000000000006</v>
      </c>
      <c r="M19" s="8">
        <v>0</v>
      </c>
      <c r="N19" s="10">
        <f t="shared" si="0"/>
        <v>3305.2900000000004</v>
      </c>
      <c r="O19" s="10">
        <f t="shared" si="1"/>
        <v>0</v>
      </c>
      <c r="P19">
        <v>943.9</v>
      </c>
      <c r="Q19" s="11">
        <v>45862</v>
      </c>
      <c r="R19" s="12"/>
      <c r="S19" s="13">
        <f t="shared" si="2"/>
        <v>4.3799999999999955</v>
      </c>
    </row>
    <row r="20" spans="1:19" x14ac:dyDescent="0.25">
      <c r="A20" s="6">
        <f>'[1]Cash Variance'!A21</f>
        <v>45857</v>
      </c>
      <c r="B20" s="7">
        <v>2794.97</v>
      </c>
      <c r="C20" s="7">
        <v>15.34</v>
      </c>
      <c r="D20" s="8">
        <v>223.72</v>
      </c>
      <c r="E20" s="8">
        <v>17.84</v>
      </c>
      <c r="F20" s="9">
        <f t="shared" si="3"/>
        <v>3051.87</v>
      </c>
      <c r="G20" s="8">
        <v>631.08000000000004</v>
      </c>
      <c r="H20" s="8">
        <v>1566.62</v>
      </c>
      <c r="I20" s="8">
        <v>0</v>
      </c>
      <c r="J20" s="8">
        <v>579.82000000000005</v>
      </c>
      <c r="K20" s="8">
        <v>116.79</v>
      </c>
      <c r="L20" s="8">
        <v>157.99</v>
      </c>
      <c r="M20" s="8">
        <v>0</v>
      </c>
      <c r="N20" s="10">
        <f t="shared" si="0"/>
        <v>3052.3</v>
      </c>
      <c r="O20" s="10">
        <f t="shared" si="1"/>
        <v>-0.43000000000029104</v>
      </c>
      <c r="P20" s="8">
        <v>640.80999999999995</v>
      </c>
      <c r="Q20" s="11">
        <v>45862</v>
      </c>
      <c r="R20" s="12"/>
      <c r="S20" s="13">
        <f t="shared" si="2"/>
        <v>9.7299999999999045</v>
      </c>
    </row>
    <row r="21" spans="1:19" x14ac:dyDescent="0.25">
      <c r="A21" s="6">
        <f>'[1]Cash Variance'!A22</f>
        <v>45858</v>
      </c>
      <c r="B21" s="7">
        <v>2039.65</v>
      </c>
      <c r="C21" s="7">
        <v>13.11</v>
      </c>
      <c r="D21" s="8">
        <v>163.25</v>
      </c>
      <c r="E21" s="8">
        <v>5.59</v>
      </c>
      <c r="F21" s="9">
        <f t="shared" si="3"/>
        <v>2221.6000000000004</v>
      </c>
      <c r="G21" s="8">
        <v>483.73</v>
      </c>
      <c r="H21" s="8">
        <v>949.58</v>
      </c>
      <c r="I21" s="8">
        <v>45.85</v>
      </c>
      <c r="J21" s="8">
        <v>577.75</v>
      </c>
      <c r="K21" s="8">
        <v>58.32</v>
      </c>
      <c r="L21" s="8">
        <v>47.39</v>
      </c>
      <c r="M21" s="8">
        <v>59.32</v>
      </c>
      <c r="N21" s="10">
        <f t="shared" si="0"/>
        <v>2221.94</v>
      </c>
      <c r="O21" s="10">
        <f t="shared" si="1"/>
        <v>-0.33999999999969077</v>
      </c>
      <c r="P21" s="8">
        <v>483.26</v>
      </c>
      <c r="Q21" s="11">
        <v>45862</v>
      </c>
      <c r="R21" s="12"/>
      <c r="S21" s="13">
        <f t="shared" si="2"/>
        <v>-0.47000000000002728</v>
      </c>
    </row>
    <row r="22" spans="1:19" x14ac:dyDescent="0.25">
      <c r="A22" s="6">
        <f>'[1]Cash Variance'!A23</f>
        <v>45859</v>
      </c>
      <c r="B22" s="7">
        <v>1954.19</v>
      </c>
      <c r="C22" s="7">
        <v>2.76</v>
      </c>
      <c r="D22" s="8">
        <v>156.47</v>
      </c>
      <c r="E22" s="8">
        <v>3</v>
      </c>
      <c r="F22" s="9">
        <f t="shared" si="3"/>
        <v>2116.42</v>
      </c>
      <c r="G22" s="8">
        <v>543.04999999999995</v>
      </c>
      <c r="H22" s="8">
        <v>967.87</v>
      </c>
      <c r="I22" s="8">
        <v>12.95</v>
      </c>
      <c r="J22" s="8">
        <v>416.72</v>
      </c>
      <c r="K22" s="8">
        <v>85.14</v>
      </c>
      <c r="L22" s="8">
        <v>90.91</v>
      </c>
      <c r="M22" s="8">
        <v>0</v>
      </c>
      <c r="N22" s="10">
        <f t="shared" si="0"/>
        <v>2116.6400000000003</v>
      </c>
      <c r="O22" s="10">
        <f t="shared" si="1"/>
        <v>-0.22000000000025466</v>
      </c>
      <c r="P22" s="8">
        <v>549.79999999999995</v>
      </c>
      <c r="Q22" s="11">
        <v>45862</v>
      </c>
      <c r="R22" s="12"/>
      <c r="S22" s="13">
        <f t="shared" si="2"/>
        <v>6.75</v>
      </c>
    </row>
    <row r="23" spans="1:19" x14ac:dyDescent="0.25">
      <c r="A23" s="6">
        <f>'[1]Cash Variance'!A24</f>
        <v>45860</v>
      </c>
      <c r="B23" s="7">
        <v>2414.11</v>
      </c>
      <c r="C23" s="7">
        <v>0</v>
      </c>
      <c r="D23" s="8">
        <v>193.27</v>
      </c>
      <c r="E23" s="8">
        <v>8.76</v>
      </c>
      <c r="F23" s="9">
        <f t="shared" si="3"/>
        <v>2616.1400000000003</v>
      </c>
      <c r="G23" s="8">
        <v>773.91</v>
      </c>
      <c r="H23" s="8">
        <f>1180.93-1.34</f>
        <v>1179.5900000000001</v>
      </c>
      <c r="I23" s="8">
        <v>0</v>
      </c>
      <c r="J23" s="8">
        <v>569.74</v>
      </c>
      <c r="K23" s="8">
        <v>12.89</v>
      </c>
      <c r="L23" s="8">
        <v>80.010000000000005</v>
      </c>
      <c r="M23" s="8">
        <v>0</v>
      </c>
      <c r="N23" s="10">
        <f t="shared" si="0"/>
        <v>2616.14</v>
      </c>
      <c r="O23" s="10">
        <f t="shared" si="1"/>
        <v>0</v>
      </c>
      <c r="P23" s="8">
        <v>772.66</v>
      </c>
      <c r="Q23" s="11">
        <v>45862</v>
      </c>
      <c r="R23" s="12"/>
      <c r="S23" s="13">
        <f t="shared" si="2"/>
        <v>-1.25</v>
      </c>
    </row>
    <row r="24" spans="1:19" x14ac:dyDescent="0.25">
      <c r="A24" s="6">
        <f>'[1]Cash Variance'!A25</f>
        <v>45861</v>
      </c>
      <c r="B24" s="7">
        <v>2702.71</v>
      </c>
      <c r="C24" s="8">
        <v>2.76</v>
      </c>
      <c r="D24" s="8">
        <v>216.44</v>
      </c>
      <c r="E24" s="8">
        <v>26.91</v>
      </c>
      <c r="F24" s="9">
        <f t="shared" si="3"/>
        <v>2948.82</v>
      </c>
      <c r="G24" s="8">
        <v>859.6</v>
      </c>
      <c r="H24" s="8">
        <f>1296.63-3.24</f>
        <v>1293.3900000000001</v>
      </c>
      <c r="I24" s="8">
        <v>9.17</v>
      </c>
      <c r="J24" s="8">
        <v>551.69000000000005</v>
      </c>
      <c r="K24" s="8">
        <v>110.51</v>
      </c>
      <c r="L24" s="8">
        <v>124.46</v>
      </c>
      <c r="M24" s="8">
        <v>0</v>
      </c>
      <c r="N24" s="10">
        <f t="shared" si="0"/>
        <v>2948.8200000000006</v>
      </c>
      <c r="O24" s="10">
        <f t="shared" si="1"/>
        <v>0</v>
      </c>
      <c r="P24" s="8"/>
      <c r="Q24" s="11"/>
      <c r="R24" s="12"/>
      <c r="S24" s="13">
        <f t="shared" si="2"/>
        <v>-859.6</v>
      </c>
    </row>
    <row r="25" spans="1:19" x14ac:dyDescent="0.25">
      <c r="A25" s="6">
        <f>'[1]Cash Variance'!A26</f>
        <v>45862</v>
      </c>
      <c r="B25" s="7">
        <v>3118.03</v>
      </c>
      <c r="C25" s="7">
        <v>17.920000000000002</v>
      </c>
      <c r="D25" s="8">
        <v>249.61</v>
      </c>
      <c r="E25" s="8">
        <v>32.950000000000003</v>
      </c>
      <c r="F25" s="9">
        <f t="shared" si="3"/>
        <v>3418.51</v>
      </c>
      <c r="G25" s="8">
        <v>542.33000000000004</v>
      </c>
      <c r="H25" s="8">
        <f>1698.24-5.49</f>
        <v>1692.75</v>
      </c>
      <c r="I25" s="8">
        <v>0</v>
      </c>
      <c r="J25" s="8">
        <v>953.74</v>
      </c>
      <c r="K25" s="8">
        <v>83.78</v>
      </c>
      <c r="L25" s="8">
        <v>145.91</v>
      </c>
      <c r="M25" s="8">
        <v>0</v>
      </c>
      <c r="N25" s="10">
        <f t="shared" ref="N25:N32" si="4">SUM(G25:M25)</f>
        <v>3418.5099999999998</v>
      </c>
      <c r="O25" s="10">
        <f t="shared" si="1"/>
        <v>0</v>
      </c>
      <c r="P25" s="8"/>
      <c r="Q25" s="11"/>
      <c r="R25" s="12"/>
      <c r="S25" s="13">
        <f t="shared" si="2"/>
        <v>-542.33000000000004</v>
      </c>
    </row>
    <row r="26" spans="1:19" x14ac:dyDescent="0.25">
      <c r="A26" s="6">
        <f>'[1]Cash Variance'!A27</f>
        <v>45863</v>
      </c>
      <c r="B26" s="7">
        <v>3236.65</v>
      </c>
      <c r="C26" s="7">
        <v>22.61</v>
      </c>
      <c r="D26" s="8">
        <v>259.14999999999998</v>
      </c>
      <c r="E26" s="8">
        <v>28.17</v>
      </c>
      <c r="F26" s="9">
        <f t="shared" si="3"/>
        <v>3546.5800000000004</v>
      </c>
      <c r="G26" s="8">
        <v>662.34</v>
      </c>
      <c r="H26" s="8">
        <f>1748.47-5.41</f>
        <v>1743.06</v>
      </c>
      <c r="I26" s="8">
        <v>0</v>
      </c>
      <c r="J26" s="8">
        <v>954.19</v>
      </c>
      <c r="K26" s="8">
        <v>0</v>
      </c>
      <c r="L26" s="8">
        <v>186.99</v>
      </c>
      <c r="M26" s="8">
        <v>0</v>
      </c>
      <c r="N26" s="10">
        <f t="shared" si="4"/>
        <v>3546.58</v>
      </c>
      <c r="O26" s="10">
        <f t="shared" si="1"/>
        <v>0</v>
      </c>
      <c r="P26" s="8"/>
      <c r="Q26" s="11"/>
      <c r="R26" s="12"/>
      <c r="S26" s="13">
        <f t="shared" si="2"/>
        <v>-662.34</v>
      </c>
    </row>
    <row r="27" spans="1:19" x14ac:dyDescent="0.25">
      <c r="A27" s="6">
        <f>'[1]Cash Variance'!A28</f>
        <v>45864</v>
      </c>
      <c r="B27" s="7">
        <v>3419.79</v>
      </c>
      <c r="C27" s="7">
        <v>10.65</v>
      </c>
      <c r="D27" s="8">
        <v>273.77</v>
      </c>
      <c r="E27" s="8">
        <v>19.66</v>
      </c>
      <c r="F27" s="9">
        <f t="shared" si="3"/>
        <v>3723.87</v>
      </c>
      <c r="G27" s="8">
        <v>931.09</v>
      </c>
      <c r="H27" s="8">
        <f>1798.73-5.31</f>
        <v>1793.42</v>
      </c>
      <c r="I27" s="8">
        <v>0</v>
      </c>
      <c r="J27" s="8">
        <v>882.36</v>
      </c>
      <c r="K27" s="8">
        <v>0</v>
      </c>
      <c r="L27" s="8">
        <v>117</v>
      </c>
      <c r="M27" s="8">
        <v>0</v>
      </c>
      <c r="N27" s="10">
        <f t="shared" si="4"/>
        <v>3723.8700000000003</v>
      </c>
      <c r="O27" s="10">
        <f t="shared" si="1"/>
        <v>0</v>
      </c>
      <c r="P27" s="8"/>
      <c r="Q27" s="11"/>
      <c r="R27" s="12"/>
      <c r="S27" s="13">
        <f t="shared" si="2"/>
        <v>-931.09</v>
      </c>
    </row>
    <row r="28" spans="1:19" x14ac:dyDescent="0.25">
      <c r="A28" s="6">
        <f>'[1]Cash Variance'!A29</f>
        <v>45865</v>
      </c>
      <c r="B28" s="7">
        <v>1832.62</v>
      </c>
      <c r="C28" s="7">
        <v>4.2</v>
      </c>
      <c r="D28" s="8">
        <v>146.75</v>
      </c>
      <c r="E28" s="8">
        <v>5.22</v>
      </c>
      <c r="F28" s="9">
        <f t="shared" si="3"/>
        <v>1988.79</v>
      </c>
      <c r="G28" s="8">
        <v>428.56</v>
      </c>
      <c r="H28" s="8">
        <v>1014.73</v>
      </c>
      <c r="I28" s="8">
        <v>45.85</v>
      </c>
      <c r="J28" s="8">
        <v>400.48</v>
      </c>
      <c r="K28" s="8">
        <v>27.08</v>
      </c>
      <c r="L28" s="8">
        <v>73.86</v>
      </c>
      <c r="M28" s="8">
        <v>0</v>
      </c>
      <c r="N28" s="10">
        <f t="shared" si="4"/>
        <v>1990.5599999999997</v>
      </c>
      <c r="O28" s="10">
        <f t="shared" si="1"/>
        <v>-1.7699999999997544</v>
      </c>
      <c r="P28" s="8"/>
      <c r="Q28" s="11"/>
      <c r="R28" s="12"/>
      <c r="S28" s="13">
        <f t="shared" si="2"/>
        <v>-428.56</v>
      </c>
    </row>
    <row r="29" spans="1:19" x14ac:dyDescent="0.25">
      <c r="A29" s="6">
        <f>'[1]Cash Variance'!A30</f>
        <v>45866</v>
      </c>
      <c r="B29" s="7">
        <v>2386.89</v>
      </c>
      <c r="C29" s="7">
        <v>8.82</v>
      </c>
      <c r="D29" s="8">
        <v>191.15</v>
      </c>
      <c r="E29" s="8">
        <v>20.87</v>
      </c>
      <c r="F29" s="9">
        <f t="shared" si="3"/>
        <v>2607.73</v>
      </c>
      <c r="G29" s="8">
        <v>807.48</v>
      </c>
      <c r="H29" s="8">
        <v>1159.3599999999999</v>
      </c>
      <c r="I29" s="8">
        <v>12.95</v>
      </c>
      <c r="J29" s="8">
        <v>463.28</v>
      </c>
      <c r="K29" s="8">
        <v>21.91</v>
      </c>
      <c r="L29" s="8">
        <v>142.72999999999999</v>
      </c>
      <c r="M29" s="8">
        <v>0</v>
      </c>
      <c r="N29" s="10">
        <f t="shared" si="4"/>
        <v>2607.7099999999996</v>
      </c>
      <c r="O29" s="10">
        <f t="shared" si="1"/>
        <v>2.0000000000436557E-2</v>
      </c>
      <c r="P29" s="8"/>
      <c r="Q29" s="11"/>
      <c r="R29" s="12"/>
      <c r="S29" s="13">
        <f t="shared" si="2"/>
        <v>-807.48</v>
      </c>
    </row>
    <row r="30" spans="1:19" x14ac:dyDescent="0.25">
      <c r="A30" s="6">
        <f>'[1]Cash Variance'!A31</f>
        <v>45867</v>
      </c>
      <c r="B30" s="7">
        <v>620.02</v>
      </c>
      <c r="C30" s="7">
        <v>0</v>
      </c>
      <c r="D30" s="8">
        <v>49.66</v>
      </c>
      <c r="E30" s="8">
        <v>6</v>
      </c>
      <c r="F30" s="9">
        <f t="shared" si="3"/>
        <v>675.68</v>
      </c>
      <c r="G30" s="8">
        <v>60.45</v>
      </c>
      <c r="H30" s="8">
        <v>463.45</v>
      </c>
      <c r="I30" s="8">
        <v>0</v>
      </c>
      <c r="J30" s="8">
        <v>105.9</v>
      </c>
      <c r="K30" s="8">
        <v>0</v>
      </c>
      <c r="L30" s="8">
        <v>45.68</v>
      </c>
      <c r="M30" s="8">
        <v>0</v>
      </c>
      <c r="N30" s="10">
        <f t="shared" si="4"/>
        <v>675.4799999999999</v>
      </c>
      <c r="O30" s="10">
        <f t="shared" si="1"/>
        <v>0.20000000000004547</v>
      </c>
      <c r="P30" s="8"/>
      <c r="Q30" s="11"/>
      <c r="R30" s="12"/>
      <c r="S30" s="13">
        <f t="shared" si="2"/>
        <v>-60.45</v>
      </c>
    </row>
    <row r="31" spans="1:19" x14ac:dyDescent="0.25">
      <c r="A31" s="6">
        <f>'[1]Cash Variance'!A32</f>
        <v>45868</v>
      </c>
      <c r="B31" s="7">
        <v>0</v>
      </c>
      <c r="C31" s="7">
        <v>0</v>
      </c>
      <c r="D31" s="8">
        <v>0</v>
      </c>
      <c r="E31" s="8">
        <v>0</v>
      </c>
      <c r="F31" s="9">
        <f t="shared" si="3"/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10">
        <f t="shared" si="4"/>
        <v>0</v>
      </c>
      <c r="O31" s="10">
        <f t="shared" si="1"/>
        <v>0</v>
      </c>
      <c r="P31" s="8"/>
      <c r="Q31" s="11"/>
      <c r="R31" s="12"/>
      <c r="S31" s="13">
        <f t="shared" si="2"/>
        <v>0</v>
      </c>
    </row>
    <row r="32" spans="1:19" ht="15.75" thickBot="1" x14ac:dyDescent="0.3">
      <c r="A32" s="6">
        <f>'[1]Cash Variance'!A33</f>
        <v>45869</v>
      </c>
      <c r="B32" s="7">
        <v>0</v>
      </c>
      <c r="C32" s="7">
        <v>0</v>
      </c>
      <c r="D32" s="8">
        <v>0</v>
      </c>
      <c r="E32" s="8">
        <v>0</v>
      </c>
      <c r="F32" s="9">
        <f t="shared" si="3"/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10">
        <f t="shared" si="4"/>
        <v>0</v>
      </c>
      <c r="O32" s="10">
        <f t="shared" si="1"/>
        <v>0</v>
      </c>
      <c r="P32" s="8"/>
      <c r="Q32" s="11"/>
      <c r="R32" s="12"/>
      <c r="S32" s="13">
        <f t="shared" si="2"/>
        <v>0</v>
      </c>
    </row>
    <row r="33" spans="1:19" ht="15.75" thickBot="1" x14ac:dyDescent="0.3">
      <c r="A33" s="17" t="s">
        <v>8</v>
      </c>
      <c r="B33" s="18">
        <f t="shared" ref="B33:M33" si="5">SUM(B2:B32)</f>
        <v>68761.680000000008</v>
      </c>
      <c r="C33" s="18">
        <f t="shared" si="5"/>
        <v>360.96999999999997</v>
      </c>
      <c r="D33" s="18">
        <f t="shared" si="5"/>
        <v>5504.9699999999975</v>
      </c>
      <c r="E33" s="18">
        <f>SUM(E2:E32)</f>
        <v>391.37000000000006</v>
      </c>
      <c r="F33" s="19">
        <f>SUM(F2:F32)</f>
        <v>75018.989999999976</v>
      </c>
      <c r="G33" s="18">
        <f t="shared" si="5"/>
        <v>18176.920000000002</v>
      </c>
      <c r="H33" s="18">
        <f>SUM(H2:H32)</f>
        <v>35224.93</v>
      </c>
      <c r="I33" s="18">
        <f t="shared" si="5"/>
        <v>435.27000000000004</v>
      </c>
      <c r="J33" s="18">
        <f t="shared" si="5"/>
        <v>15719.2</v>
      </c>
      <c r="K33" s="18">
        <f t="shared" si="5"/>
        <v>1428.16</v>
      </c>
      <c r="L33" s="18">
        <f t="shared" si="5"/>
        <v>3977.73</v>
      </c>
      <c r="M33" s="18">
        <f t="shared" si="5"/>
        <v>59.32</v>
      </c>
      <c r="N33" s="19">
        <f>SUM(N2:N32)</f>
        <v>75021.53</v>
      </c>
      <c r="O33" s="19">
        <f t="shared" ref="O33:R33" si="6">SUM(O2:O32)</f>
        <v>-2.5399999999995089</v>
      </c>
      <c r="P33" s="18">
        <f>SUM(P2:P32)</f>
        <v>13883.659999999998</v>
      </c>
      <c r="Q33" s="18"/>
      <c r="R33" s="18">
        <f t="shared" si="6"/>
        <v>0</v>
      </c>
      <c r="S33" s="19">
        <f>SUM(S2:S32)</f>
        <v>-4293.2599999999993</v>
      </c>
    </row>
    <row r="34" spans="1:19" x14ac:dyDescent="0.25">
      <c r="A34" s="20" t="s">
        <v>0</v>
      </c>
      <c r="B34" s="21">
        <f>+B33</f>
        <v>68761.680000000008</v>
      </c>
      <c r="C34" s="21">
        <f>+C33</f>
        <v>360.96999999999997</v>
      </c>
      <c r="D34" s="21">
        <f>+D33</f>
        <v>5504.9699999999975</v>
      </c>
      <c r="E34" s="21">
        <f>+E33</f>
        <v>391.37000000000006</v>
      </c>
      <c r="F34" s="20"/>
      <c r="G34" s="21">
        <f>+G33</f>
        <v>18176.920000000002</v>
      </c>
      <c r="H34" s="20"/>
      <c r="I34" s="20"/>
      <c r="J34" s="21">
        <f>+J33</f>
        <v>15719.2</v>
      </c>
      <c r="K34" s="21">
        <f>+K33</f>
        <v>1428.16</v>
      </c>
      <c r="L34" s="21">
        <f>+L33</f>
        <v>3977.73</v>
      </c>
      <c r="M34" s="21">
        <f>+M33</f>
        <v>59.32</v>
      </c>
      <c r="N34" s="20"/>
      <c r="O34" s="20"/>
      <c r="P34" s="22"/>
      <c r="Q34" s="23"/>
      <c r="R34" s="20"/>
      <c r="S34" s="20"/>
    </row>
    <row r="35" spans="1:19" x14ac:dyDescent="0.25">
      <c r="A35" s="24" t="s">
        <v>9</v>
      </c>
      <c r="B35" s="25">
        <f>+B33</f>
        <v>68761.680000000008</v>
      </c>
      <c r="C35" s="25">
        <f>+C33</f>
        <v>360.96999999999997</v>
      </c>
      <c r="D35" s="25">
        <f>+D33</f>
        <v>5504.9699999999975</v>
      </c>
      <c r="E35" s="25">
        <f>+E33</f>
        <v>391.37000000000006</v>
      </c>
      <c r="F35" s="25"/>
      <c r="G35" s="25">
        <f>+G33</f>
        <v>18176.920000000002</v>
      </c>
      <c r="H35" s="24"/>
      <c r="I35" s="24"/>
      <c r="J35" s="25">
        <f>+J33</f>
        <v>15719.2</v>
      </c>
      <c r="K35" s="25">
        <f>+K33</f>
        <v>1428.16</v>
      </c>
      <c r="L35" s="25">
        <f>+L33</f>
        <v>3977.73</v>
      </c>
      <c r="M35" s="25">
        <f>+M33</f>
        <v>59.32</v>
      </c>
      <c r="N35" s="24"/>
      <c r="O35" s="24"/>
      <c r="P35" s="24"/>
      <c r="Q35" s="26"/>
      <c r="R35" s="24"/>
      <c r="S35" s="24"/>
    </row>
    <row r="36" spans="1:19" x14ac:dyDescent="0.25">
      <c r="A36" s="24"/>
      <c r="B36" s="24"/>
      <c r="C36" s="24"/>
      <c r="D36" s="24"/>
      <c r="E36" s="8"/>
      <c r="F36" s="25"/>
      <c r="G36" s="24"/>
      <c r="H36" s="35" t="s">
        <v>10</v>
      </c>
      <c r="I36" s="35"/>
      <c r="J36" s="28">
        <v>18718.93</v>
      </c>
      <c r="K36" s="27">
        <f>1583.21-134.23</f>
        <v>1448.98</v>
      </c>
      <c r="L36" s="27">
        <f>4763.91+279.38</f>
        <v>5043.29</v>
      </c>
      <c r="M36" s="24"/>
      <c r="N36" s="24"/>
      <c r="O36" s="24"/>
      <c r="P36" s="24"/>
      <c r="Q36" s="26"/>
      <c r="R36" s="24"/>
      <c r="S36" s="24"/>
    </row>
    <row r="37" spans="1:19" x14ac:dyDescent="0.25">
      <c r="A37" s="24"/>
      <c r="B37" s="24"/>
      <c r="C37" s="29"/>
      <c r="D37" s="24"/>
      <c r="E37" s="24"/>
      <c r="F37" s="24"/>
      <c r="G37" s="24"/>
      <c r="H37" s="35" t="s">
        <v>11</v>
      </c>
      <c r="I37" s="35"/>
      <c r="J37" s="30">
        <f>+J36-J33</f>
        <v>2999.7299999999996</v>
      </c>
      <c r="K37" s="31">
        <f>+K36-K33</f>
        <v>20.819999999999936</v>
      </c>
      <c r="L37" s="31">
        <f>+L36-L33</f>
        <v>1065.56</v>
      </c>
      <c r="M37" s="24"/>
      <c r="N37" s="24"/>
      <c r="O37" s="24"/>
      <c r="P37" s="24"/>
      <c r="Q37" s="24"/>
      <c r="R37" s="24"/>
      <c r="S37" s="24"/>
    </row>
    <row r="38" spans="1:19" x14ac:dyDescent="0.25">
      <c r="A38" s="24"/>
      <c r="B38" s="24"/>
      <c r="C38" s="24"/>
      <c r="D38" s="24"/>
      <c r="E38" s="24"/>
      <c r="F38" s="24"/>
      <c r="G38" s="24"/>
      <c r="H38" s="35" t="s">
        <v>12</v>
      </c>
      <c r="I38" s="35"/>
      <c r="J38" s="28">
        <v>-3006.3</v>
      </c>
      <c r="K38" s="27">
        <f>-137.39</f>
        <v>-137.38999999999999</v>
      </c>
      <c r="L38" s="27">
        <f>-758.82+296.38</f>
        <v>-462.44000000000005</v>
      </c>
      <c r="M38" s="24"/>
      <c r="N38" s="24"/>
      <c r="O38" s="24"/>
      <c r="P38" s="24"/>
      <c r="Q38" s="24"/>
      <c r="R38" s="24"/>
      <c r="S38" s="24"/>
    </row>
    <row r="39" spans="1:19" x14ac:dyDescent="0.25">
      <c r="A39" s="24"/>
      <c r="B39" s="24"/>
      <c r="C39" s="24"/>
      <c r="D39" s="24"/>
      <c r="E39" s="24"/>
      <c r="F39" s="24"/>
      <c r="G39" s="24"/>
      <c r="H39" s="35" t="s">
        <v>13</v>
      </c>
      <c r="I39" s="35"/>
      <c r="J39" s="28">
        <v>-3381.83</v>
      </c>
      <c r="K39" s="27">
        <f>-121.97-81.51</f>
        <v>-203.48000000000002</v>
      </c>
      <c r="L39" s="27">
        <v>-1015.39</v>
      </c>
      <c r="M39" s="24"/>
      <c r="N39" s="24"/>
      <c r="O39" s="24"/>
      <c r="P39" s="24"/>
      <c r="Q39" s="24"/>
      <c r="R39" s="24"/>
      <c r="S39" s="24"/>
    </row>
    <row r="40" spans="1:19" x14ac:dyDescent="0.25">
      <c r="A40" s="24"/>
      <c r="B40" s="24"/>
      <c r="C40" s="24"/>
      <c r="D40" s="24"/>
      <c r="E40" s="24"/>
      <c r="F40" s="24"/>
      <c r="G40" s="24"/>
      <c r="H40" s="35" t="s">
        <v>14</v>
      </c>
      <c r="I40" s="35"/>
      <c r="J40" s="28">
        <v>-276.02</v>
      </c>
      <c r="K40" s="27">
        <v>-119.98</v>
      </c>
      <c r="L40" s="27">
        <v>-19.02</v>
      </c>
      <c r="M40" s="24"/>
      <c r="N40" s="24"/>
      <c r="O40" s="24"/>
      <c r="P40" s="24"/>
      <c r="Q40" s="24"/>
      <c r="R40" s="24"/>
      <c r="S40" s="24"/>
    </row>
    <row r="41" spans="1:19" ht="15.75" thickBot="1" x14ac:dyDescent="0.3">
      <c r="A41" s="24"/>
      <c r="B41" s="24"/>
      <c r="C41" s="24"/>
      <c r="D41" s="24"/>
      <c r="E41" s="24"/>
      <c r="F41" s="24"/>
      <c r="G41" s="24"/>
      <c r="H41" s="36" t="s">
        <v>15</v>
      </c>
      <c r="I41" s="36"/>
      <c r="J41" s="32">
        <f>+J36+J38+J39+J40</f>
        <v>12054.78</v>
      </c>
      <c r="K41" s="33">
        <f>+K36+K38+K39+K40</f>
        <v>988.13000000000011</v>
      </c>
      <c r="L41" s="33">
        <f>+L36+L38+L39+L40</f>
        <v>3546.4400000000005</v>
      </c>
      <c r="M41" s="24"/>
      <c r="N41" s="24"/>
      <c r="O41" s="24"/>
      <c r="P41" s="24"/>
      <c r="Q41" s="24"/>
      <c r="R41" s="24"/>
      <c r="S41" s="24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2025-08-20T12:58:36Z</dcterms:created>
  <dcterms:modified xsi:type="dcterms:W3CDTF">2025-10-08T07:47:46Z</dcterms:modified>
</cp:coreProperties>
</file>