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3B47AD7A-E377-4318-8738-EF85578D9B3A}" xr6:coauthVersionLast="47" xr6:coauthVersionMax="47" xr10:uidLastSave="{00000000-0000-0000-0000-000000000000}"/>
  <bookViews>
    <workbookView xWindow="-120" yWindow="-120" windowWidth="20730" windowHeight="11040" xr2:uid="{CB16E43F-EA9F-482A-8F75-03E46A752D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G33" i="1"/>
  <c r="G35" i="1" s="1"/>
  <c r="D33" i="1"/>
  <c r="D34" i="1" s="1"/>
  <c r="B33" i="1"/>
  <c r="B34" i="1" s="1"/>
  <c r="F2" i="1"/>
  <c r="J41" i="1"/>
  <c r="K39" i="1"/>
  <c r="L38" i="1"/>
  <c r="J37" i="1"/>
  <c r="L36" i="1"/>
  <c r="K36" i="1"/>
  <c r="M34" i="1"/>
  <c r="J34" i="1"/>
  <c r="R33" i="1"/>
  <c r="P33" i="1"/>
  <c r="M33" i="1"/>
  <c r="M35" i="1" s="1"/>
  <c r="L33" i="1"/>
  <c r="L34" i="1" s="1"/>
  <c r="K33" i="1"/>
  <c r="K35" i="1" s="1"/>
  <c r="J33" i="1"/>
  <c r="J35" i="1" s="1"/>
  <c r="I33" i="1"/>
  <c r="E33" i="1"/>
  <c r="E35" i="1" s="1"/>
  <c r="C33" i="1"/>
  <c r="C35" i="1" s="1"/>
  <c r="S32" i="1"/>
  <c r="H32" i="1"/>
  <c r="N32" i="1" s="1"/>
  <c r="O32" i="1" s="1"/>
  <c r="F32" i="1"/>
  <c r="A32" i="1"/>
  <c r="S31" i="1"/>
  <c r="H31" i="1"/>
  <c r="N31" i="1" s="1"/>
  <c r="F31" i="1"/>
  <c r="A31" i="1"/>
  <c r="S30" i="1"/>
  <c r="N30" i="1"/>
  <c r="O30" i="1" s="1"/>
  <c r="F30" i="1"/>
  <c r="A30" i="1"/>
  <c r="S29" i="1"/>
  <c r="N29" i="1"/>
  <c r="F29" i="1"/>
  <c r="A29" i="1"/>
  <c r="S28" i="1"/>
  <c r="H28" i="1"/>
  <c r="N28" i="1" s="1"/>
  <c r="F28" i="1"/>
  <c r="A28" i="1"/>
  <c r="S27" i="1"/>
  <c r="H27" i="1"/>
  <c r="N27" i="1" s="1"/>
  <c r="O27" i="1" s="1"/>
  <c r="F27" i="1"/>
  <c r="A27" i="1"/>
  <c r="S26" i="1"/>
  <c r="H26" i="1"/>
  <c r="N26" i="1" s="1"/>
  <c r="F26" i="1"/>
  <c r="A26" i="1"/>
  <c r="S25" i="1"/>
  <c r="H25" i="1"/>
  <c r="N25" i="1" s="1"/>
  <c r="F25" i="1"/>
  <c r="A25" i="1"/>
  <c r="S24" i="1"/>
  <c r="H24" i="1"/>
  <c r="N24" i="1" s="1"/>
  <c r="F24" i="1"/>
  <c r="A24" i="1"/>
  <c r="S23" i="1"/>
  <c r="H23" i="1"/>
  <c r="N23" i="1" s="1"/>
  <c r="O23" i="1" s="1"/>
  <c r="F23" i="1"/>
  <c r="A23" i="1"/>
  <c r="S22" i="1"/>
  <c r="H22" i="1"/>
  <c r="N22" i="1" s="1"/>
  <c r="O22" i="1" s="1"/>
  <c r="F22" i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N11" i="1"/>
  <c r="H11" i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O7" i="1" s="1"/>
  <c r="F7" i="1"/>
  <c r="A7" i="1"/>
  <c r="S6" i="1"/>
  <c r="H6" i="1"/>
  <c r="N6" i="1" s="1"/>
  <c r="F6" i="1"/>
  <c r="A6" i="1"/>
  <c r="S5" i="1"/>
  <c r="O5" i="1"/>
  <c r="N5" i="1"/>
  <c r="H5" i="1"/>
  <c r="F5" i="1"/>
  <c r="A5" i="1"/>
  <c r="S4" i="1"/>
  <c r="H4" i="1"/>
  <c r="N4" i="1" s="1"/>
  <c r="F4" i="1"/>
  <c r="F33" i="1" s="1"/>
  <c r="A4" i="1"/>
  <c r="S3" i="1"/>
  <c r="H3" i="1"/>
  <c r="N3" i="1" s="1"/>
  <c r="O3" i="1" s="1"/>
  <c r="F3" i="1"/>
  <c r="A3" i="1"/>
  <c r="S2" i="1"/>
  <c r="H2" i="1"/>
  <c r="N2" i="1" s="1"/>
  <c r="O13" i="1" l="1"/>
  <c r="N33" i="1"/>
  <c r="O25" i="1"/>
  <c r="S33" i="1"/>
  <c r="O6" i="1"/>
  <c r="O18" i="1"/>
  <c r="H33" i="1"/>
  <c r="E34" i="1"/>
  <c r="O29" i="1"/>
  <c r="O11" i="1"/>
  <c r="O26" i="1"/>
  <c r="O28" i="1"/>
  <c r="O10" i="1"/>
  <c r="O17" i="1"/>
  <c r="K41" i="1"/>
  <c r="L35" i="1"/>
  <c r="O12" i="1"/>
  <c r="O21" i="1"/>
  <c r="L41" i="1"/>
  <c r="L43" i="1" s="1"/>
  <c r="D35" i="1"/>
  <c r="B35" i="1"/>
  <c r="O8" i="1"/>
  <c r="O24" i="1"/>
  <c r="O4" i="1"/>
  <c r="O14" i="1"/>
  <c r="O31" i="1"/>
  <c r="O16" i="1"/>
  <c r="G34" i="1"/>
  <c r="K37" i="1"/>
  <c r="K34" i="1"/>
  <c r="L37" i="1"/>
  <c r="C34" i="1"/>
  <c r="O2" i="1" l="1"/>
  <c r="O33" i="1" s="1"/>
</calcChain>
</file>

<file path=xl/sharedStrings.xml><?xml version="1.0" encoding="utf-8"?>
<sst xmlns="http://schemas.openxmlformats.org/spreadsheetml/2006/main" count="28" uniqueCount="28">
  <si>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</si>
  <si>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</si>
  <si>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</si>
  <si>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</si>
  <si>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</si>
  <si>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</si>
  <si>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</si>
  <si>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</si>
  <si>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LCE GATEWAY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</si>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</sst>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3" borderId="6" xfId="0" applyNumberFormat="1" applyFont="1" applyFill="1" applyBorder="1" applyAlignment="1">
      <alignment horizontal="center" wrapText="1"/>
    </xf>
    <xf numFmtId="1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right"/>
    </xf>
    <xf numFmtId="164" fontId="5" fillId="3" borderId="8" xfId="0" applyNumberFormat="1" applyFont="1" applyFill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164" fontId="4" fillId="3" borderId="5" xfId="0" applyNumberFormat="1" applyFont="1" applyFill="1" applyBorder="1" applyAlignment="1">
      <alignment horizontal="right"/>
    </xf>
    <xf numFmtId="164" fontId="5" fillId="3" borderId="5" xfId="0" applyNumberFormat="1" applyFont="1" applyFill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5" fontId="6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horizontal="center"/>
    </xf>
    <xf numFmtId="164" fontId="5" fillId="5" borderId="9" xfId="0" applyNumberFormat="1" applyFont="1" applyFill="1" applyBorder="1" applyAlignment="1">
      <alignment horizontal="right"/>
    </xf>
    <xf numFmtId="164" fontId="5" fillId="5" borderId="8" xfId="0" applyNumberFormat="1" applyFont="1" applyFill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4" fontId="5" fillId="0" borderId="10" xfId="0" applyNumberFormat="1" applyFont="1" applyBorder="1" applyAlignment="1">
      <alignment horizontal="right"/>
    </xf>
    <xf numFmtId="164" fontId="6" fillId="2" borderId="12" xfId="0" applyNumberFormat="1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right"/>
    </xf>
    <xf numFmtId="164" fontId="6" fillId="3" borderId="13" xfId="0" applyNumberFormat="1" applyFont="1" applyFill="1" applyBorder="1" applyAlignment="1">
      <alignment horizontal="right"/>
    </xf>
    <xf numFmtId="164" fontId="6" fillId="2" borderId="14" xfId="0" applyNumberFormat="1" applyFont="1" applyFill="1" applyBorder="1" applyAlignment="1">
      <alignment horizontal="right"/>
    </xf>
    <xf numFmtId="164" fontId="6" fillId="3" borderId="5" xfId="0" applyNumberFormat="1" applyFont="1" applyFill="1" applyBorder="1" applyAlignment="1">
      <alignment horizontal="right"/>
    </xf>
    <xf numFmtId="164" fontId="7" fillId="2" borderId="15" xfId="0" applyNumberFormat="1" applyFont="1" applyFill="1" applyBorder="1" applyAlignment="1">
      <alignment horizontal="right"/>
    </xf>
    <xf numFmtId="164" fontId="7" fillId="2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6" borderId="17" xfId="0" applyNumberFormat="1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11F3-E844-4CAE-A41E-BB7A7A638ABC}">
  <dimension ref="A1:S43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4" max="4" width="9.5703125" bestFit="1" customWidth="1"/>
    <col min="6" max="6" width="10.5703125" bestFit="1" customWidth="1"/>
    <col min="7" max="7" width="9.5703125" bestFit="1" customWidth="1"/>
    <col min="8" max="8" width="10.5703125" bestFit="1" customWidth="1"/>
    <col min="10" max="10" width="10.5703125" bestFit="1" customWidth="1"/>
    <col min="11" max="12" width="9.5703125" bestFit="1" customWidth="1"/>
    <col min="14" max="14" width="10.5703125" bestFit="1" customWidth="1"/>
    <col min="15" max="15" width="11.7109375" customWidth="1"/>
    <col min="16" max="16" width="12.140625" customWidth="1"/>
    <col min="17" max="17" width="10.42578125" bestFit="1" customWidth="1"/>
  </cols>
  <sheetData>
    <row r="1" spans="1:19" ht="63.75" thickBot="1" x14ac:dyDescent="0.3">
      <c r="A1" s="43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0</v>
      </c>
      <c r="J1" s="4" t="s">
        <v>1</v>
      </c>
      <c r="K1" s="4" t="s">
        <v>2</v>
      </c>
      <c r="L1" s="4" t="s">
        <v>23</v>
      </c>
      <c r="M1" s="5" t="s">
        <v>24</v>
      </c>
      <c r="N1" s="6" t="s">
        <v>3</v>
      </c>
      <c r="O1" s="6" t="s">
        <v>4</v>
      </c>
      <c r="P1" s="7" t="s">
        <v>26</v>
      </c>
      <c r="Q1" s="2" t="s">
        <v>5</v>
      </c>
      <c r="R1" s="2" t="s">
        <v>6</v>
      </c>
      <c r="S1" s="8" t="s">
        <v>25</v>
      </c>
    </row>
    <row r="2" spans="1:19" x14ac:dyDescent="0.25">
      <c r="A2" s="9" t="str">
        <f>A1</f>
        <v>Year2025</v>
      </c>
      <c r="B2" s="10">
        <v>1359.01</v>
      </c>
      <c r="C2" s="10">
        <v>19.87</v>
      </c>
      <c r="D2" s="11">
        <v>108.8</v>
      </c>
      <c r="E2" s="11">
        <v>11.03</v>
      </c>
      <c r="F2" s="12">
        <f>SUM(B2:E2)</f>
        <v>1498.7099999999998</v>
      </c>
      <c r="G2" s="13">
        <v>162.82</v>
      </c>
      <c r="H2" s="11">
        <f>612.6-8.33</f>
        <v>604.27</v>
      </c>
      <c r="I2" s="14">
        <v>0</v>
      </c>
      <c r="J2" s="11">
        <v>348.21</v>
      </c>
      <c r="K2" s="11">
        <v>175.85</v>
      </c>
      <c r="L2" s="11">
        <v>200.55</v>
      </c>
      <c r="M2" s="14">
        <v>7.01</v>
      </c>
      <c r="N2" s="15">
        <f>SUM(G2:M2)</f>
        <v>1498.7099999999998</v>
      </c>
      <c r="O2" s="16">
        <f t="shared" ref="O2:O27" si="0">+F2-N2</f>
        <v>0</v>
      </c>
      <c r="P2" s="17">
        <v>163</v>
      </c>
      <c r="Q2" s="18">
        <v>45848</v>
      </c>
      <c r="R2" s="19"/>
      <c r="S2" s="20">
        <f>P2-G2-R2</f>
        <v>0.18000000000000682</v>
      </c>
    </row>
    <row r="3" spans="1:19" x14ac:dyDescent="0.25">
      <c r="A3" s="9">
        <f>'[1]Cash Variance'!A4</f>
        <v>45840</v>
      </c>
      <c r="B3" s="10">
        <v>1196.82</v>
      </c>
      <c r="C3" s="10">
        <v>15.38</v>
      </c>
      <c r="D3" s="11">
        <v>95.8</v>
      </c>
      <c r="E3" s="11">
        <v>3</v>
      </c>
      <c r="F3" s="12">
        <f t="shared" ref="F3:F32" si="1">SUM(B3:E3)</f>
        <v>1311</v>
      </c>
      <c r="G3" s="11">
        <v>183.21</v>
      </c>
      <c r="H3" s="11">
        <f>619.53-5.54</f>
        <v>613.99</v>
      </c>
      <c r="I3" s="11">
        <v>22.65</v>
      </c>
      <c r="J3" s="11">
        <v>241.81</v>
      </c>
      <c r="K3" s="11">
        <v>80.11</v>
      </c>
      <c r="L3" s="11">
        <v>169.23</v>
      </c>
      <c r="M3" s="14">
        <v>0</v>
      </c>
      <c r="N3" s="15">
        <f t="shared" ref="N3:N24" si="2">SUM(G3:M3)</f>
        <v>1311</v>
      </c>
      <c r="O3" s="16">
        <f t="shared" si="0"/>
        <v>0</v>
      </c>
      <c r="P3" s="17">
        <v>183</v>
      </c>
      <c r="Q3" s="18">
        <v>45848</v>
      </c>
      <c r="R3" s="19"/>
      <c r="S3" s="20">
        <f t="shared" ref="S3:S32" si="3">P3-G3-R3</f>
        <v>-0.21000000000000796</v>
      </c>
    </row>
    <row r="4" spans="1:19" x14ac:dyDescent="0.25">
      <c r="A4" s="9">
        <f>'[1]Cash Variance'!A5</f>
        <v>45841</v>
      </c>
      <c r="B4" s="10">
        <v>1732.43</v>
      </c>
      <c r="C4" s="10">
        <v>63.24</v>
      </c>
      <c r="D4" s="11">
        <v>138.66</v>
      </c>
      <c r="E4" s="11">
        <v>12.92</v>
      </c>
      <c r="F4" s="12">
        <f t="shared" si="1"/>
        <v>1947.2500000000002</v>
      </c>
      <c r="G4" s="11">
        <v>195.07</v>
      </c>
      <c r="H4" s="11">
        <f>835.84-15.13</f>
        <v>820.71</v>
      </c>
      <c r="I4" s="14">
        <v>0</v>
      </c>
      <c r="J4" s="11">
        <v>614.66999999999996</v>
      </c>
      <c r="K4" s="11">
        <v>135.79</v>
      </c>
      <c r="L4" s="14">
        <v>170.3</v>
      </c>
      <c r="M4" s="14">
        <v>9.7100000000000009</v>
      </c>
      <c r="N4" s="15">
        <f t="shared" si="2"/>
        <v>1946.2499999999998</v>
      </c>
      <c r="O4" s="16">
        <f t="shared" si="0"/>
        <v>1.0000000000004547</v>
      </c>
      <c r="P4" s="17">
        <v>195</v>
      </c>
      <c r="Q4" s="18">
        <v>45848</v>
      </c>
      <c r="R4" s="19"/>
      <c r="S4" s="20">
        <f t="shared" si="3"/>
        <v>-6.9999999999993179E-2</v>
      </c>
    </row>
    <row r="5" spans="1:19" x14ac:dyDescent="0.25">
      <c r="A5" s="9">
        <f>'[1]Cash Variance'!A6</f>
        <v>45842</v>
      </c>
      <c r="B5" s="10">
        <v>1288.6199999999999</v>
      </c>
      <c r="C5" s="10">
        <v>17.309999999999999</v>
      </c>
      <c r="D5" s="11">
        <v>103.14</v>
      </c>
      <c r="E5" s="11">
        <v>30.21</v>
      </c>
      <c r="F5" s="12">
        <f t="shared" si="1"/>
        <v>1439.28</v>
      </c>
      <c r="G5" s="11">
        <v>52.7</v>
      </c>
      <c r="H5" s="11">
        <f>761.24-17.56</f>
        <v>743.68000000000006</v>
      </c>
      <c r="I5" s="11">
        <v>8.6300000000000008</v>
      </c>
      <c r="J5" s="11">
        <v>359.03</v>
      </c>
      <c r="K5" s="11">
        <v>82.73</v>
      </c>
      <c r="L5" s="11">
        <v>192.51</v>
      </c>
      <c r="M5" s="14">
        <v>0</v>
      </c>
      <c r="N5" s="15">
        <f t="shared" si="2"/>
        <v>1439.28</v>
      </c>
      <c r="O5" s="16">
        <f t="shared" si="0"/>
        <v>0</v>
      </c>
      <c r="P5" s="17">
        <v>53</v>
      </c>
      <c r="Q5" s="18">
        <v>45848</v>
      </c>
      <c r="R5" s="19"/>
      <c r="S5" s="20">
        <f t="shared" si="3"/>
        <v>0.29999999999999716</v>
      </c>
    </row>
    <row r="6" spans="1:19" x14ac:dyDescent="0.25">
      <c r="A6" s="9">
        <f>'[1]Cash Variance'!A7</f>
        <v>45843</v>
      </c>
      <c r="B6" s="10">
        <v>1393.39</v>
      </c>
      <c r="C6" s="10">
        <v>22.68</v>
      </c>
      <c r="D6" s="11">
        <v>111.52</v>
      </c>
      <c r="E6" s="11">
        <v>10.38</v>
      </c>
      <c r="F6" s="12">
        <f t="shared" si="1"/>
        <v>1537.9700000000003</v>
      </c>
      <c r="G6" s="11">
        <v>147.12</v>
      </c>
      <c r="H6" s="11">
        <f>684.13-11.53</f>
        <v>672.6</v>
      </c>
      <c r="I6" s="11">
        <v>0</v>
      </c>
      <c r="J6" s="11">
        <v>441.88</v>
      </c>
      <c r="K6" s="11">
        <v>78.819999999999993</v>
      </c>
      <c r="L6" s="11">
        <v>197.55</v>
      </c>
      <c r="M6" s="14">
        <v>0</v>
      </c>
      <c r="N6" s="15">
        <f t="shared" si="2"/>
        <v>1537.9699999999998</v>
      </c>
      <c r="O6" s="16">
        <f t="shared" si="0"/>
        <v>0</v>
      </c>
      <c r="P6" s="17">
        <v>147</v>
      </c>
      <c r="Q6" s="18">
        <v>45848</v>
      </c>
      <c r="R6" s="19"/>
      <c r="S6" s="20">
        <f t="shared" si="3"/>
        <v>-0.12000000000000455</v>
      </c>
    </row>
    <row r="7" spans="1:19" x14ac:dyDescent="0.25">
      <c r="A7" s="9">
        <f>'[1]Cash Variance'!A8</f>
        <v>45844</v>
      </c>
      <c r="B7" s="10">
        <v>1173.98</v>
      </c>
      <c r="C7" s="10">
        <v>9.9700000000000006</v>
      </c>
      <c r="D7" s="11">
        <v>93.93</v>
      </c>
      <c r="E7" s="11">
        <v>5</v>
      </c>
      <c r="F7" s="12">
        <f t="shared" si="1"/>
        <v>1282.8800000000001</v>
      </c>
      <c r="G7" s="11">
        <v>102.1</v>
      </c>
      <c r="H7" s="11">
        <f>466.04-10.31</f>
        <v>455.73</v>
      </c>
      <c r="I7" s="14">
        <v>18.34</v>
      </c>
      <c r="J7" s="11">
        <v>452.58</v>
      </c>
      <c r="K7" s="14">
        <v>52.37</v>
      </c>
      <c r="L7" s="11">
        <v>201.76</v>
      </c>
      <c r="M7" s="21">
        <v>0</v>
      </c>
      <c r="N7" s="15">
        <f t="shared" si="2"/>
        <v>1282.8799999999999</v>
      </c>
      <c r="O7" s="16">
        <f t="shared" si="0"/>
        <v>0</v>
      </c>
      <c r="P7" s="17">
        <v>102</v>
      </c>
      <c r="Q7" s="18">
        <v>45848</v>
      </c>
      <c r="R7" s="19"/>
      <c r="S7" s="20">
        <f t="shared" si="3"/>
        <v>-9.9999999999994316E-2</v>
      </c>
    </row>
    <row r="8" spans="1:19" x14ac:dyDescent="0.25">
      <c r="A8" s="9">
        <f>'[1]Cash Variance'!A9</f>
        <v>45845</v>
      </c>
      <c r="B8" s="10">
        <v>1206.76</v>
      </c>
      <c r="C8" s="10">
        <v>18.07</v>
      </c>
      <c r="D8" s="11">
        <v>96.58</v>
      </c>
      <c r="E8" s="11">
        <v>14.9</v>
      </c>
      <c r="F8" s="12">
        <f t="shared" si="1"/>
        <v>1336.31</v>
      </c>
      <c r="G8" s="11">
        <v>150.71</v>
      </c>
      <c r="H8" s="11">
        <f>734.25-3.5</f>
        <v>730.75</v>
      </c>
      <c r="I8" s="14">
        <v>0</v>
      </c>
      <c r="J8" s="11">
        <v>273.47000000000003</v>
      </c>
      <c r="K8" s="11">
        <v>65.94</v>
      </c>
      <c r="L8" s="11">
        <v>115.44</v>
      </c>
      <c r="M8" s="14">
        <v>0</v>
      </c>
      <c r="N8" s="15">
        <f t="shared" si="2"/>
        <v>1336.3100000000002</v>
      </c>
      <c r="O8" s="16">
        <f t="shared" si="0"/>
        <v>0</v>
      </c>
      <c r="P8" s="17">
        <v>151</v>
      </c>
      <c r="Q8" s="18">
        <v>45848</v>
      </c>
      <c r="R8" s="19"/>
      <c r="S8" s="20">
        <f t="shared" si="3"/>
        <v>0.28999999999999204</v>
      </c>
    </row>
    <row r="9" spans="1:19" x14ac:dyDescent="0.25">
      <c r="A9" s="9">
        <f>'[1]Cash Variance'!A10</f>
        <v>45846</v>
      </c>
      <c r="B9" s="22">
        <v>1275.79</v>
      </c>
      <c r="C9" s="14">
        <v>24.69</v>
      </c>
      <c r="D9" s="23">
        <v>102.1</v>
      </c>
      <c r="E9" s="24">
        <v>5</v>
      </c>
      <c r="F9" s="12">
        <f>SUM(B9:E9)</f>
        <v>1407.58</v>
      </c>
      <c r="G9" s="24">
        <v>181.81</v>
      </c>
      <c r="H9" s="24">
        <f>690.48-10.55</f>
        <v>679.93000000000006</v>
      </c>
      <c r="I9" s="14">
        <v>24.22</v>
      </c>
      <c r="J9" s="24">
        <v>362.55</v>
      </c>
      <c r="K9" s="24">
        <v>58.82</v>
      </c>
      <c r="L9" s="24">
        <v>100.25</v>
      </c>
      <c r="M9" s="14">
        <v>0</v>
      </c>
      <c r="N9" s="15">
        <f t="shared" si="2"/>
        <v>1407.58</v>
      </c>
      <c r="O9" s="16">
        <f t="shared" si="0"/>
        <v>0</v>
      </c>
      <c r="P9" s="17"/>
      <c r="Q9" s="18"/>
      <c r="R9" s="19"/>
      <c r="S9" s="20">
        <f t="shared" si="3"/>
        <v>-181.81</v>
      </c>
    </row>
    <row r="10" spans="1:19" x14ac:dyDescent="0.25">
      <c r="A10" s="9">
        <f>'[1]Cash Variance'!A11</f>
        <v>45847</v>
      </c>
      <c r="B10" s="10">
        <v>1336.2</v>
      </c>
      <c r="C10" s="10">
        <v>23.37</v>
      </c>
      <c r="D10" s="17">
        <v>106.96</v>
      </c>
      <c r="E10" s="11">
        <v>15</v>
      </c>
      <c r="F10" s="12">
        <f t="shared" si="1"/>
        <v>1481.53</v>
      </c>
      <c r="G10" s="11">
        <v>93.73</v>
      </c>
      <c r="H10" s="11">
        <f>764.39-2.92</f>
        <v>761.47</v>
      </c>
      <c r="I10" s="14">
        <v>0</v>
      </c>
      <c r="J10" s="11">
        <v>534.49</v>
      </c>
      <c r="K10" s="14">
        <v>11.61</v>
      </c>
      <c r="L10" s="11">
        <v>80.23</v>
      </c>
      <c r="M10" s="14">
        <v>0</v>
      </c>
      <c r="N10" s="15">
        <f t="shared" si="2"/>
        <v>1481.53</v>
      </c>
      <c r="O10" s="16">
        <f t="shared" si="0"/>
        <v>0</v>
      </c>
      <c r="P10" s="17">
        <v>94</v>
      </c>
      <c r="Q10" s="18">
        <v>45861</v>
      </c>
      <c r="R10" s="19"/>
      <c r="S10" s="20">
        <f t="shared" si="3"/>
        <v>0.26999999999999602</v>
      </c>
    </row>
    <row r="11" spans="1:19" x14ac:dyDescent="0.25">
      <c r="A11" s="9">
        <f>'[1]Cash Variance'!A12</f>
        <v>45848</v>
      </c>
      <c r="B11" s="10">
        <v>1337.17</v>
      </c>
      <c r="C11" s="10">
        <v>12.41</v>
      </c>
      <c r="D11" s="11">
        <v>107.01</v>
      </c>
      <c r="E11" s="11">
        <v>22.13</v>
      </c>
      <c r="F11" s="12">
        <f t="shared" si="1"/>
        <v>1478.7200000000003</v>
      </c>
      <c r="G11" s="11">
        <v>311.39999999999998</v>
      </c>
      <c r="H11" s="11">
        <f>624.16-9.92</f>
        <v>614.24</v>
      </c>
      <c r="I11" s="14">
        <v>10.79</v>
      </c>
      <c r="J11" s="11">
        <v>390.85</v>
      </c>
      <c r="K11" s="14">
        <v>8.39</v>
      </c>
      <c r="L11" s="11">
        <v>136.13999999999999</v>
      </c>
      <c r="M11" s="14">
        <v>6.91</v>
      </c>
      <c r="N11" s="15">
        <f t="shared" si="2"/>
        <v>1478.72</v>
      </c>
      <c r="O11" s="16">
        <f t="shared" si="0"/>
        <v>0</v>
      </c>
      <c r="P11" s="17">
        <v>344</v>
      </c>
      <c r="Q11" s="18">
        <v>45861</v>
      </c>
      <c r="R11" s="19"/>
      <c r="S11" s="20">
        <f t="shared" si="3"/>
        <v>32.600000000000023</v>
      </c>
    </row>
    <row r="12" spans="1:19" x14ac:dyDescent="0.25">
      <c r="A12" s="9">
        <f>'[1]Cash Variance'!A13</f>
        <v>45849</v>
      </c>
      <c r="B12" s="10">
        <v>1311.76</v>
      </c>
      <c r="C12" s="10">
        <v>29.81</v>
      </c>
      <c r="D12" s="11">
        <v>105.02</v>
      </c>
      <c r="E12" s="11">
        <v>5</v>
      </c>
      <c r="F12" s="12">
        <f t="shared" si="1"/>
        <v>1451.59</v>
      </c>
      <c r="G12" s="11">
        <v>164.55</v>
      </c>
      <c r="H12" s="11">
        <f>652.44-6.95</f>
        <v>645.49</v>
      </c>
      <c r="I12" s="14">
        <v>47.68</v>
      </c>
      <c r="J12" s="11">
        <v>410.79</v>
      </c>
      <c r="K12" s="11">
        <v>79.55</v>
      </c>
      <c r="L12" s="14">
        <v>103.53</v>
      </c>
      <c r="M12" s="14">
        <v>0</v>
      </c>
      <c r="N12" s="15">
        <f t="shared" si="2"/>
        <v>1451.59</v>
      </c>
      <c r="O12" s="16">
        <f t="shared" si="0"/>
        <v>0</v>
      </c>
      <c r="P12" s="23">
        <v>165</v>
      </c>
      <c r="Q12" s="18">
        <v>45861</v>
      </c>
      <c r="R12" s="19"/>
      <c r="S12" s="20">
        <f t="shared" si="3"/>
        <v>0.44999999999998863</v>
      </c>
    </row>
    <row r="13" spans="1:19" x14ac:dyDescent="0.25">
      <c r="A13" s="9">
        <f>'[1]Cash Variance'!A14</f>
        <v>45850</v>
      </c>
      <c r="B13" s="10">
        <v>1659.34</v>
      </c>
      <c r="C13" s="10">
        <v>29.24</v>
      </c>
      <c r="D13" s="11">
        <v>132.81</v>
      </c>
      <c r="E13" s="11">
        <v>22.8</v>
      </c>
      <c r="F13" s="12">
        <f t="shared" si="1"/>
        <v>1844.1899999999998</v>
      </c>
      <c r="G13" s="11">
        <v>261.51</v>
      </c>
      <c r="H13" s="11">
        <f>854.95-26.34</f>
        <v>828.61</v>
      </c>
      <c r="I13" s="14">
        <v>11.87</v>
      </c>
      <c r="J13" s="11">
        <v>347.63</v>
      </c>
      <c r="K13" s="11">
        <v>87.85</v>
      </c>
      <c r="L13" s="11">
        <v>302.89999999999998</v>
      </c>
      <c r="M13" s="14">
        <v>3.82</v>
      </c>
      <c r="N13" s="15">
        <f t="shared" si="2"/>
        <v>1844.1899999999998</v>
      </c>
      <c r="O13" s="16">
        <f t="shared" si="0"/>
        <v>0</v>
      </c>
      <c r="P13" s="17">
        <v>262</v>
      </c>
      <c r="Q13" s="18">
        <v>45861</v>
      </c>
      <c r="R13" s="19"/>
      <c r="S13" s="20">
        <f t="shared" si="3"/>
        <v>0.49000000000000909</v>
      </c>
    </row>
    <row r="14" spans="1:19" x14ac:dyDescent="0.25">
      <c r="A14" s="9">
        <f>'[1]Cash Variance'!A15</f>
        <v>45851</v>
      </c>
      <c r="B14" s="10">
        <v>1225.29</v>
      </c>
      <c r="C14" s="10">
        <v>18.52</v>
      </c>
      <c r="D14" s="11">
        <v>98.06</v>
      </c>
      <c r="E14" s="11">
        <v>29.44</v>
      </c>
      <c r="F14" s="12">
        <f t="shared" si="1"/>
        <v>1371.31</v>
      </c>
      <c r="G14" s="11">
        <v>136.86000000000001</v>
      </c>
      <c r="H14" s="11">
        <f>652.51-10.09</f>
        <v>642.41999999999996</v>
      </c>
      <c r="I14" s="11">
        <v>29.66</v>
      </c>
      <c r="J14" s="11">
        <v>241.02</v>
      </c>
      <c r="K14" s="11">
        <v>152.34</v>
      </c>
      <c r="L14" s="11">
        <v>169.01</v>
      </c>
      <c r="M14" s="14">
        <v>0</v>
      </c>
      <c r="N14" s="15">
        <f t="shared" si="2"/>
        <v>1371.31</v>
      </c>
      <c r="O14" s="16">
        <f t="shared" si="0"/>
        <v>0</v>
      </c>
      <c r="P14" s="17">
        <v>137</v>
      </c>
      <c r="Q14" s="18">
        <v>45861</v>
      </c>
      <c r="R14" s="19"/>
      <c r="S14" s="20">
        <f t="shared" si="3"/>
        <v>0.13999999999998636</v>
      </c>
    </row>
    <row r="15" spans="1:19" x14ac:dyDescent="0.25">
      <c r="A15" s="9">
        <f>'[1]Cash Variance'!A16</f>
        <v>45852</v>
      </c>
      <c r="B15" s="10">
        <v>1416.13</v>
      </c>
      <c r="C15" s="10">
        <v>40.14</v>
      </c>
      <c r="D15" s="13">
        <v>113.36</v>
      </c>
      <c r="E15" s="11">
        <v>3</v>
      </c>
      <c r="F15" s="12">
        <f t="shared" si="1"/>
        <v>1572.63</v>
      </c>
      <c r="G15" s="11">
        <v>228.22</v>
      </c>
      <c r="H15" s="11">
        <f>674.02-12.75</f>
        <v>661.27</v>
      </c>
      <c r="I15" s="14">
        <v>22.64</v>
      </c>
      <c r="J15" s="11">
        <v>414.7</v>
      </c>
      <c r="K15" s="11">
        <v>107.42</v>
      </c>
      <c r="L15" s="11">
        <v>138.38</v>
      </c>
      <c r="M15" s="14">
        <v>0</v>
      </c>
      <c r="N15" s="15">
        <f t="shared" si="2"/>
        <v>1572.63</v>
      </c>
      <c r="O15" s="16">
        <f t="shared" si="0"/>
        <v>0</v>
      </c>
      <c r="P15" s="17">
        <v>228</v>
      </c>
      <c r="Q15" s="18">
        <v>45861</v>
      </c>
      <c r="R15" s="19"/>
      <c r="S15" s="20">
        <f t="shared" si="3"/>
        <v>-0.21999999999999886</v>
      </c>
    </row>
    <row r="16" spans="1:19" x14ac:dyDescent="0.25">
      <c r="A16" s="9">
        <f>'[1]Cash Variance'!A17</f>
        <v>45853</v>
      </c>
      <c r="B16" s="10">
        <v>1176.29</v>
      </c>
      <c r="C16" s="10">
        <v>35.299999999999997</v>
      </c>
      <c r="D16" s="13">
        <v>94.17</v>
      </c>
      <c r="E16" s="13">
        <v>18.43</v>
      </c>
      <c r="F16" s="12">
        <f t="shared" si="1"/>
        <v>1324.19</v>
      </c>
      <c r="G16" s="13">
        <v>99.88</v>
      </c>
      <c r="H16" s="13">
        <f>634.62-18.55</f>
        <v>616.07000000000005</v>
      </c>
      <c r="I16" s="25">
        <v>0</v>
      </c>
      <c r="J16" s="13">
        <v>298.97000000000003</v>
      </c>
      <c r="K16" s="13">
        <v>122.73</v>
      </c>
      <c r="L16" s="13">
        <v>186.54</v>
      </c>
      <c r="M16" s="25">
        <v>0</v>
      </c>
      <c r="N16" s="15">
        <f t="shared" si="2"/>
        <v>1324.19</v>
      </c>
      <c r="O16" s="16">
        <f t="shared" si="0"/>
        <v>0</v>
      </c>
      <c r="P16" s="17">
        <v>100</v>
      </c>
      <c r="Q16" s="18">
        <v>45861</v>
      </c>
      <c r="R16" s="19"/>
      <c r="S16" s="20">
        <f t="shared" si="3"/>
        <v>0.12000000000000455</v>
      </c>
    </row>
    <row r="17" spans="1:19" x14ac:dyDescent="0.25">
      <c r="A17" s="9">
        <f>'[1]Cash Variance'!A18</f>
        <v>45854</v>
      </c>
      <c r="B17" s="10">
        <v>1522.04</v>
      </c>
      <c r="C17" s="10">
        <v>13.35</v>
      </c>
      <c r="D17" s="13">
        <v>121.84</v>
      </c>
      <c r="E17" s="13">
        <v>15.52</v>
      </c>
      <c r="F17" s="12">
        <f t="shared" si="1"/>
        <v>1672.7499999999998</v>
      </c>
      <c r="G17" s="13">
        <v>161.16</v>
      </c>
      <c r="H17" s="13">
        <v>924.71</v>
      </c>
      <c r="I17" s="13">
        <v>9.17</v>
      </c>
      <c r="J17" s="13">
        <v>446.05</v>
      </c>
      <c r="K17" s="14">
        <v>32.64</v>
      </c>
      <c r="L17" s="13">
        <v>99.73</v>
      </c>
      <c r="M17" s="25">
        <v>0</v>
      </c>
      <c r="N17" s="15">
        <f t="shared" si="2"/>
        <v>1673.4600000000003</v>
      </c>
      <c r="O17" s="16">
        <f t="shared" si="0"/>
        <v>-0.71000000000049113</v>
      </c>
      <c r="P17" s="17">
        <v>161</v>
      </c>
      <c r="Q17" s="18">
        <v>45861</v>
      </c>
      <c r="R17" s="19"/>
      <c r="S17" s="20">
        <f t="shared" si="3"/>
        <v>-0.15999999999999659</v>
      </c>
    </row>
    <row r="18" spans="1:19" x14ac:dyDescent="0.25">
      <c r="A18" s="9">
        <f>'[1]Cash Variance'!A19</f>
        <v>45855</v>
      </c>
      <c r="B18" s="10">
        <v>1507.91</v>
      </c>
      <c r="C18" s="14">
        <v>13.99</v>
      </c>
      <c r="D18" s="13">
        <v>120.68</v>
      </c>
      <c r="E18" s="13">
        <v>23.28</v>
      </c>
      <c r="F18" s="12">
        <f t="shared" si="1"/>
        <v>1665.8600000000001</v>
      </c>
      <c r="G18" s="13">
        <v>246.56</v>
      </c>
      <c r="H18" s="13">
        <f>829.42-2.57</f>
        <v>826.84999999999991</v>
      </c>
      <c r="I18" s="13">
        <v>12.95</v>
      </c>
      <c r="J18" s="13">
        <v>308.10000000000002</v>
      </c>
      <c r="K18" s="13">
        <v>93.91</v>
      </c>
      <c r="L18" s="13">
        <v>177.49</v>
      </c>
      <c r="M18" s="14">
        <v>0</v>
      </c>
      <c r="N18" s="15">
        <f t="shared" si="2"/>
        <v>1665.8600000000001</v>
      </c>
      <c r="O18" s="16">
        <f t="shared" si="0"/>
        <v>0</v>
      </c>
      <c r="P18" s="17">
        <v>247</v>
      </c>
      <c r="Q18" s="18">
        <v>45861</v>
      </c>
      <c r="R18" s="19"/>
      <c r="S18" s="20">
        <f t="shared" si="3"/>
        <v>0.43999999999999773</v>
      </c>
    </row>
    <row r="19" spans="1:19" x14ac:dyDescent="0.25">
      <c r="A19" s="9">
        <f>'[1]Cash Variance'!A20</f>
        <v>45856</v>
      </c>
      <c r="B19" s="10">
        <v>1561.95</v>
      </c>
      <c r="C19" s="10">
        <v>26.48</v>
      </c>
      <c r="D19" s="11">
        <v>125.04</v>
      </c>
      <c r="E19" s="11">
        <v>10.86</v>
      </c>
      <c r="F19" s="12">
        <f t="shared" si="1"/>
        <v>1724.33</v>
      </c>
      <c r="G19" s="11">
        <v>290.86</v>
      </c>
      <c r="H19" s="11">
        <f>945.89-6.04</f>
        <v>939.85</v>
      </c>
      <c r="I19" s="14">
        <v>16.18</v>
      </c>
      <c r="J19" s="11">
        <v>362.51</v>
      </c>
      <c r="K19" s="11">
        <v>87.43</v>
      </c>
      <c r="L19" s="11">
        <v>27.5</v>
      </c>
      <c r="M19" s="14">
        <v>0</v>
      </c>
      <c r="N19" s="15">
        <f t="shared" si="2"/>
        <v>1724.3300000000002</v>
      </c>
      <c r="O19" s="16">
        <f t="shared" si="0"/>
        <v>0</v>
      </c>
      <c r="P19" s="17">
        <v>291</v>
      </c>
      <c r="Q19" s="18">
        <v>45861</v>
      </c>
      <c r="R19" s="19"/>
      <c r="S19" s="20">
        <f t="shared" si="3"/>
        <v>0.13999999999998636</v>
      </c>
    </row>
    <row r="20" spans="1:19" x14ac:dyDescent="0.25">
      <c r="A20" s="9">
        <f>'[1]Cash Variance'!A21</f>
        <v>45857</v>
      </c>
      <c r="B20" s="10">
        <v>1631.66</v>
      </c>
      <c r="C20" s="10">
        <v>9.84</v>
      </c>
      <c r="D20" s="11">
        <v>130.61000000000001</v>
      </c>
      <c r="E20" s="11">
        <v>40.32</v>
      </c>
      <c r="F20" s="12">
        <f>SUM(B20:E20)</f>
        <v>1812.43</v>
      </c>
      <c r="G20" s="11">
        <v>234.08</v>
      </c>
      <c r="H20" s="11">
        <v>997.35</v>
      </c>
      <c r="I20" s="14">
        <v>0</v>
      </c>
      <c r="J20" s="11">
        <v>247.09</v>
      </c>
      <c r="K20" s="11">
        <v>163.84</v>
      </c>
      <c r="L20" s="11">
        <v>160.4</v>
      </c>
      <c r="M20" s="14">
        <v>9.7100000000000009</v>
      </c>
      <c r="N20" s="15">
        <f t="shared" si="2"/>
        <v>1812.47</v>
      </c>
      <c r="O20" s="16">
        <f t="shared" si="0"/>
        <v>-3.999999999996362E-2</v>
      </c>
      <c r="P20" s="17">
        <v>234</v>
      </c>
      <c r="Q20" s="18">
        <v>45861</v>
      </c>
      <c r="R20" s="19"/>
      <c r="S20" s="20">
        <f t="shared" si="3"/>
        <v>-8.0000000000012506E-2</v>
      </c>
    </row>
    <row r="21" spans="1:19" x14ac:dyDescent="0.25">
      <c r="A21" s="9">
        <f>'[1]Cash Variance'!A22</f>
        <v>45858</v>
      </c>
      <c r="B21" s="10">
        <v>1431.03</v>
      </c>
      <c r="C21" s="10">
        <v>13.15</v>
      </c>
      <c r="D21" s="11">
        <v>114.57</v>
      </c>
      <c r="E21" s="11">
        <v>12.93</v>
      </c>
      <c r="F21" s="12">
        <f t="shared" si="1"/>
        <v>1571.68</v>
      </c>
      <c r="G21" s="11">
        <v>132.49</v>
      </c>
      <c r="H21" s="11">
        <v>601.74</v>
      </c>
      <c r="I21" s="14">
        <v>0</v>
      </c>
      <c r="J21" s="11">
        <v>625.62</v>
      </c>
      <c r="K21" s="11">
        <v>57.26</v>
      </c>
      <c r="L21" s="11">
        <v>154.77000000000001</v>
      </c>
      <c r="M21" s="14">
        <v>0</v>
      </c>
      <c r="N21" s="15">
        <f t="shared" si="2"/>
        <v>1571.8799999999999</v>
      </c>
      <c r="O21" s="16">
        <f t="shared" si="0"/>
        <v>-0.1999999999998181</v>
      </c>
      <c r="P21" s="17">
        <v>133</v>
      </c>
      <c r="Q21" s="18">
        <v>45861</v>
      </c>
      <c r="R21" s="19"/>
      <c r="S21" s="20">
        <f t="shared" si="3"/>
        <v>0.50999999999999091</v>
      </c>
    </row>
    <row r="22" spans="1:19" x14ac:dyDescent="0.25">
      <c r="A22" s="9">
        <f>'[1]Cash Variance'!A23</f>
        <v>45859</v>
      </c>
      <c r="B22" s="10">
        <v>1341.9</v>
      </c>
      <c r="C22" s="10">
        <v>3.41</v>
      </c>
      <c r="D22" s="11">
        <v>107.4</v>
      </c>
      <c r="E22" s="13">
        <v>20.25</v>
      </c>
      <c r="F22" s="12">
        <f t="shared" si="1"/>
        <v>1472.9600000000003</v>
      </c>
      <c r="G22" s="11">
        <v>305.01</v>
      </c>
      <c r="H22" s="11">
        <f>725.84-4.51</f>
        <v>721.33</v>
      </c>
      <c r="I22" s="11">
        <v>26.43</v>
      </c>
      <c r="J22" s="11">
        <v>289.82</v>
      </c>
      <c r="K22" s="11">
        <v>71.55</v>
      </c>
      <c r="L22" s="11">
        <v>58.82</v>
      </c>
      <c r="M22" s="14">
        <v>0</v>
      </c>
      <c r="N22" s="15">
        <f t="shared" si="2"/>
        <v>1472.96</v>
      </c>
      <c r="O22" s="16">
        <f t="shared" si="0"/>
        <v>0</v>
      </c>
      <c r="P22" s="17">
        <v>305</v>
      </c>
      <c r="Q22" s="18">
        <v>45861</v>
      </c>
      <c r="R22" s="26"/>
      <c r="S22" s="20">
        <f t="shared" si="3"/>
        <v>-9.9999999999909051E-3</v>
      </c>
    </row>
    <row r="23" spans="1:19" x14ac:dyDescent="0.25">
      <c r="A23" s="9">
        <f>'[1]Cash Variance'!A24</f>
        <v>45860</v>
      </c>
      <c r="B23" s="10">
        <v>1243.47</v>
      </c>
      <c r="C23" s="10">
        <v>16.920000000000002</v>
      </c>
      <c r="D23" s="11">
        <v>99.51</v>
      </c>
      <c r="E23" s="13">
        <v>17.760000000000002</v>
      </c>
      <c r="F23" s="12">
        <f t="shared" si="1"/>
        <v>1377.66</v>
      </c>
      <c r="G23" s="11">
        <v>243.01</v>
      </c>
      <c r="H23" s="11">
        <f>511.82+4.63</f>
        <v>516.45000000000005</v>
      </c>
      <c r="I23" s="11">
        <v>0</v>
      </c>
      <c r="J23" s="11">
        <v>513.22</v>
      </c>
      <c r="K23" s="11">
        <v>70.099999999999994</v>
      </c>
      <c r="L23" s="11">
        <v>34.880000000000003</v>
      </c>
      <c r="M23" s="14">
        <v>0</v>
      </c>
      <c r="N23" s="15">
        <f t="shared" si="2"/>
        <v>1377.66</v>
      </c>
      <c r="O23" s="16">
        <f t="shared" si="0"/>
        <v>0</v>
      </c>
      <c r="P23" s="17">
        <v>243</v>
      </c>
      <c r="Q23" s="18">
        <v>45861</v>
      </c>
      <c r="R23" s="19"/>
      <c r="S23" s="20">
        <f t="shared" si="3"/>
        <v>-9.9999999999909051E-3</v>
      </c>
    </row>
    <row r="24" spans="1:19" x14ac:dyDescent="0.25">
      <c r="A24" s="9">
        <f>'[1]Cash Variance'!A25</f>
        <v>45861</v>
      </c>
      <c r="B24" s="10">
        <v>1200.3800000000001</v>
      </c>
      <c r="C24" s="10">
        <v>7.76</v>
      </c>
      <c r="D24" s="11">
        <v>96.1</v>
      </c>
      <c r="E24" s="11">
        <v>5.49</v>
      </c>
      <c r="F24" s="12">
        <f t="shared" si="1"/>
        <v>1309.73</v>
      </c>
      <c r="G24" s="11">
        <v>113.4</v>
      </c>
      <c r="H24" s="11">
        <f>569.87+2.32</f>
        <v>572.19000000000005</v>
      </c>
      <c r="I24" s="14">
        <v>16.18</v>
      </c>
      <c r="J24" s="11">
        <v>393.19</v>
      </c>
      <c r="K24" s="11">
        <v>54.8</v>
      </c>
      <c r="L24" s="11">
        <v>159.97</v>
      </c>
      <c r="M24" s="14">
        <v>0</v>
      </c>
      <c r="N24" s="15">
        <f t="shared" si="2"/>
        <v>1309.73</v>
      </c>
      <c r="O24" s="16">
        <f t="shared" si="0"/>
        <v>0</v>
      </c>
      <c r="P24" s="17">
        <v>113</v>
      </c>
      <c r="Q24" s="18">
        <v>45869</v>
      </c>
      <c r="R24" s="19"/>
      <c r="S24" s="20">
        <f t="shared" si="3"/>
        <v>-0.40000000000000568</v>
      </c>
    </row>
    <row r="25" spans="1:19" x14ac:dyDescent="0.25">
      <c r="A25" s="9">
        <f>'[1]Cash Variance'!A26</f>
        <v>45862</v>
      </c>
      <c r="B25" s="14">
        <v>1429.13</v>
      </c>
      <c r="C25" s="14">
        <v>32.659999999999997</v>
      </c>
      <c r="D25" s="14">
        <v>114.36</v>
      </c>
      <c r="E25" s="14">
        <v>0.39999999999999802</v>
      </c>
      <c r="F25" s="12">
        <f t="shared" si="1"/>
        <v>1576.5500000000002</v>
      </c>
      <c r="G25" s="14">
        <v>114.76</v>
      </c>
      <c r="H25" s="14">
        <f>856.82-19.27</f>
        <v>837.55000000000007</v>
      </c>
      <c r="I25" s="14">
        <v>0</v>
      </c>
      <c r="J25" s="14">
        <v>467.34</v>
      </c>
      <c r="K25" s="14">
        <v>104.44</v>
      </c>
      <c r="L25" s="14">
        <v>52.46</v>
      </c>
      <c r="M25" s="14">
        <v>0</v>
      </c>
      <c r="N25" s="15">
        <f t="shared" ref="N25:N26" si="4">SUM(G25:M25)</f>
        <v>1576.5500000000002</v>
      </c>
      <c r="O25" s="16">
        <f t="shared" si="0"/>
        <v>0</v>
      </c>
      <c r="P25" s="17">
        <v>115</v>
      </c>
      <c r="Q25" s="18">
        <v>45869</v>
      </c>
      <c r="R25" s="19"/>
      <c r="S25" s="20">
        <f t="shared" si="3"/>
        <v>0.23999999999999488</v>
      </c>
    </row>
    <row r="26" spans="1:19" x14ac:dyDescent="0.25">
      <c r="A26" s="9">
        <f>'[1]Cash Variance'!A27</f>
        <v>45863</v>
      </c>
      <c r="B26" s="14">
        <v>1737.35</v>
      </c>
      <c r="C26" s="14">
        <v>49.58</v>
      </c>
      <c r="D26" s="14">
        <v>139.08000000000001</v>
      </c>
      <c r="E26" s="14">
        <v>16.25</v>
      </c>
      <c r="F26" s="12">
        <f t="shared" si="1"/>
        <v>1942.2599999999998</v>
      </c>
      <c r="G26" s="14">
        <v>282.33999999999997</v>
      </c>
      <c r="H26" s="14">
        <f>844.35-5.29</f>
        <v>839.06000000000006</v>
      </c>
      <c r="I26" s="14">
        <v>20.5</v>
      </c>
      <c r="J26" s="14">
        <v>590.88</v>
      </c>
      <c r="K26" s="14">
        <v>65.75</v>
      </c>
      <c r="L26" s="14">
        <v>119.12</v>
      </c>
      <c r="M26" s="14">
        <v>24.61</v>
      </c>
      <c r="N26" s="15">
        <f t="shared" si="4"/>
        <v>1942.26</v>
      </c>
      <c r="O26" s="16">
        <f t="shared" si="0"/>
        <v>0</v>
      </c>
      <c r="P26" s="17">
        <v>283</v>
      </c>
      <c r="Q26" s="18">
        <v>45869</v>
      </c>
      <c r="R26" s="19"/>
      <c r="S26" s="20">
        <f t="shared" si="3"/>
        <v>0.66000000000002501</v>
      </c>
    </row>
    <row r="27" spans="1:19" x14ac:dyDescent="0.25">
      <c r="A27" s="9">
        <f>'[1]Cash Variance'!A28</f>
        <v>45864</v>
      </c>
      <c r="B27" s="10">
        <v>1784.18</v>
      </c>
      <c r="C27" s="10">
        <v>28.5</v>
      </c>
      <c r="D27" s="11">
        <v>142.85</v>
      </c>
      <c r="E27" s="11">
        <v>11.3</v>
      </c>
      <c r="F27" s="12">
        <f t="shared" si="1"/>
        <v>1966.83</v>
      </c>
      <c r="G27" s="11">
        <v>252.04</v>
      </c>
      <c r="H27" s="11">
        <f>1067.2-3.23</f>
        <v>1063.97</v>
      </c>
      <c r="I27" s="11">
        <v>9.17</v>
      </c>
      <c r="J27" s="11">
        <v>347.55</v>
      </c>
      <c r="K27" s="11">
        <v>128.29</v>
      </c>
      <c r="L27" s="11">
        <v>165.81</v>
      </c>
      <c r="M27" s="21">
        <v>0</v>
      </c>
      <c r="N27" s="15">
        <f t="shared" ref="N27:N32" si="5">SUM(G27:M27)</f>
        <v>1966.83</v>
      </c>
      <c r="O27" s="16">
        <f t="shared" si="0"/>
        <v>0</v>
      </c>
      <c r="P27">
        <v>247</v>
      </c>
      <c r="Q27" s="18">
        <v>45869</v>
      </c>
      <c r="R27" s="19"/>
      <c r="S27" s="20">
        <f t="shared" si="3"/>
        <v>-5.039999999999992</v>
      </c>
    </row>
    <row r="28" spans="1:19" x14ac:dyDescent="0.25">
      <c r="A28" s="9">
        <f>'[1]Cash Variance'!A29</f>
        <v>45865</v>
      </c>
      <c r="B28" s="10">
        <v>1450.97</v>
      </c>
      <c r="C28" s="10">
        <v>33.049999999999997</v>
      </c>
      <c r="D28" s="11">
        <v>115.4</v>
      </c>
      <c r="E28" s="11">
        <v>35.24</v>
      </c>
      <c r="F28" s="12">
        <f t="shared" si="1"/>
        <v>1634.66</v>
      </c>
      <c r="G28" s="11">
        <v>190.15</v>
      </c>
      <c r="H28" s="11">
        <f>738.09+5.3</f>
        <v>743.39</v>
      </c>
      <c r="I28" s="11">
        <v>8.09</v>
      </c>
      <c r="J28" s="11">
        <v>408.93</v>
      </c>
      <c r="K28" s="11">
        <v>40.659999999999997</v>
      </c>
      <c r="L28" s="11">
        <v>243.44</v>
      </c>
      <c r="M28" s="21">
        <v>0</v>
      </c>
      <c r="N28" s="15">
        <f t="shared" si="5"/>
        <v>1634.66</v>
      </c>
      <c r="O28" s="16">
        <f>+F28-N28</f>
        <v>0</v>
      </c>
      <c r="P28" s="17">
        <v>190</v>
      </c>
      <c r="Q28" s="18">
        <v>45869</v>
      </c>
      <c r="R28" s="19"/>
      <c r="S28" s="20">
        <f t="shared" si="3"/>
        <v>-0.15000000000000568</v>
      </c>
    </row>
    <row r="29" spans="1:19" x14ac:dyDescent="0.25">
      <c r="A29" s="9">
        <f>'[1]Cash Variance'!A30</f>
        <v>45866</v>
      </c>
      <c r="B29" s="10">
        <v>1284.94</v>
      </c>
      <c r="C29" s="10">
        <v>17.649999999999999</v>
      </c>
      <c r="D29" s="11">
        <v>102.86</v>
      </c>
      <c r="E29" s="11">
        <v>5</v>
      </c>
      <c r="F29" s="12">
        <f t="shared" si="1"/>
        <v>1410.45</v>
      </c>
      <c r="G29" s="11">
        <v>183.91</v>
      </c>
      <c r="H29" s="11">
        <v>737.03</v>
      </c>
      <c r="I29" s="11">
        <v>0</v>
      </c>
      <c r="J29" s="11">
        <v>376.16</v>
      </c>
      <c r="K29" s="11">
        <v>14.64</v>
      </c>
      <c r="L29" s="11">
        <v>100.12</v>
      </c>
      <c r="M29" s="21">
        <v>0</v>
      </c>
      <c r="N29" s="15">
        <f t="shared" si="5"/>
        <v>1411.8600000000001</v>
      </c>
      <c r="O29" s="16">
        <f>+F29-N29</f>
        <v>-1.4100000000000819</v>
      </c>
      <c r="P29" s="17">
        <v>184</v>
      </c>
      <c r="Q29" s="18">
        <v>45869</v>
      </c>
      <c r="R29" s="19"/>
      <c r="S29" s="20">
        <f t="shared" si="3"/>
        <v>9.0000000000003411E-2</v>
      </c>
    </row>
    <row r="30" spans="1:19" x14ac:dyDescent="0.25">
      <c r="A30" s="9">
        <f>'[1]Cash Variance'!A31</f>
        <v>45867</v>
      </c>
      <c r="B30" s="10">
        <v>1216.76</v>
      </c>
      <c r="C30" s="10">
        <v>25.91</v>
      </c>
      <c r="D30" s="11">
        <v>97.39</v>
      </c>
      <c r="E30" s="11">
        <v>5</v>
      </c>
      <c r="F30" s="12">
        <f t="shared" si="1"/>
        <v>1345.0600000000002</v>
      </c>
      <c r="G30" s="11">
        <v>216.52</v>
      </c>
      <c r="H30" s="11">
        <v>508.75</v>
      </c>
      <c r="I30" s="11">
        <v>0</v>
      </c>
      <c r="J30" s="11">
        <v>400.28</v>
      </c>
      <c r="K30" s="11">
        <v>157.33000000000001</v>
      </c>
      <c r="L30" s="11">
        <v>62.87</v>
      </c>
      <c r="M30" s="21">
        <v>0</v>
      </c>
      <c r="N30" s="15">
        <f t="shared" si="5"/>
        <v>1345.7499999999998</v>
      </c>
      <c r="O30" s="16">
        <f>+F30-N30</f>
        <v>-0.68999999999959982</v>
      </c>
      <c r="P30" s="17">
        <v>252</v>
      </c>
      <c r="Q30" s="18">
        <v>45869</v>
      </c>
      <c r="R30" s="19"/>
      <c r="S30" s="20">
        <f t="shared" si="3"/>
        <v>35.47999999999999</v>
      </c>
    </row>
    <row r="31" spans="1:19" x14ac:dyDescent="0.25">
      <c r="A31" s="9">
        <f>'[1]Cash Variance'!A32</f>
        <v>45868</v>
      </c>
      <c r="B31" s="10">
        <v>1346.75</v>
      </c>
      <c r="C31" s="10">
        <v>14.3</v>
      </c>
      <c r="D31" s="11">
        <v>107.82</v>
      </c>
      <c r="E31" s="11">
        <v>8.0500000000000007</v>
      </c>
      <c r="F31" s="12">
        <f t="shared" si="1"/>
        <v>1476.9199999999998</v>
      </c>
      <c r="G31" s="11">
        <v>144</v>
      </c>
      <c r="H31" s="11">
        <f>788.57-2.79</f>
        <v>785.78000000000009</v>
      </c>
      <c r="I31" s="11">
        <v>15.12</v>
      </c>
      <c r="J31" s="11">
        <v>299.08999999999997</v>
      </c>
      <c r="K31" s="11">
        <v>92.75</v>
      </c>
      <c r="L31" s="11">
        <v>140.18</v>
      </c>
      <c r="M31" s="21">
        <v>0</v>
      </c>
      <c r="N31" s="15">
        <f t="shared" si="5"/>
        <v>1476.92</v>
      </c>
      <c r="O31" s="16">
        <f>+F31-N31</f>
        <v>0</v>
      </c>
      <c r="P31" s="17"/>
      <c r="Q31" s="18"/>
      <c r="R31" s="19"/>
      <c r="S31" s="20">
        <f t="shared" si="3"/>
        <v>-144</v>
      </c>
    </row>
    <row r="32" spans="1:19" ht="15.75" thickBot="1" x14ac:dyDescent="0.3">
      <c r="A32" s="9">
        <f>'[1]Cash Variance'!A33</f>
        <v>45869</v>
      </c>
      <c r="B32" s="10">
        <v>1723.39</v>
      </c>
      <c r="C32" s="10">
        <v>17.71</v>
      </c>
      <c r="D32" s="11">
        <v>137.94999999999999</v>
      </c>
      <c r="E32" s="11">
        <v>17</v>
      </c>
      <c r="F32" s="12">
        <f t="shared" si="1"/>
        <v>1896.0500000000002</v>
      </c>
      <c r="G32" s="11">
        <v>173.74</v>
      </c>
      <c r="H32" s="11">
        <f>909.8-17.53</f>
        <v>892.27</v>
      </c>
      <c r="I32" s="11">
        <v>15.1</v>
      </c>
      <c r="J32" s="11">
        <v>508.57</v>
      </c>
      <c r="K32" s="11">
        <v>98.95</v>
      </c>
      <c r="L32" s="11">
        <v>207.42</v>
      </c>
      <c r="M32" s="21">
        <v>0</v>
      </c>
      <c r="N32" s="15">
        <f t="shared" si="5"/>
        <v>1896.05</v>
      </c>
      <c r="O32" s="16">
        <f>+F32-N32</f>
        <v>0</v>
      </c>
      <c r="P32" s="17"/>
      <c r="Q32" s="18"/>
      <c r="R32" s="19"/>
      <c r="S32" s="20">
        <f t="shared" si="3"/>
        <v>-173.74</v>
      </c>
    </row>
    <row r="33" spans="1:19" ht="15.75" thickBot="1" x14ac:dyDescent="0.3">
      <c r="A33" s="27" t="s">
        <v>7</v>
      </c>
      <c r="B33" s="28">
        <f>SUM(B2:B32)</f>
        <v>43502.790000000008</v>
      </c>
      <c r="C33" s="28">
        <f t="shared" ref="C33:M33" si="6">SUM(C2:C32)</f>
        <v>704.26</v>
      </c>
      <c r="D33" s="28">
        <f>SUM(D2:D32)</f>
        <v>3481.38</v>
      </c>
      <c r="E33" s="28">
        <f>SUM(E2:E32)</f>
        <v>452.89000000000004</v>
      </c>
      <c r="F33" s="29">
        <f>SUM(F2:F32)</f>
        <v>48141.320000000014</v>
      </c>
      <c r="G33" s="28">
        <f>SUM(G2:G32)</f>
        <v>5755.72</v>
      </c>
      <c r="H33" s="28">
        <f>SUM(H2:H32)</f>
        <v>22599.5</v>
      </c>
      <c r="I33" s="28">
        <f t="shared" si="6"/>
        <v>345.37</v>
      </c>
      <c r="J33" s="28">
        <f t="shared" si="6"/>
        <v>12317.050000000001</v>
      </c>
      <c r="K33" s="28">
        <f t="shared" si="6"/>
        <v>2634.6599999999994</v>
      </c>
      <c r="L33" s="28">
        <f t="shared" si="6"/>
        <v>4429.3</v>
      </c>
      <c r="M33" s="30">
        <f t="shared" si="6"/>
        <v>61.769999999999996</v>
      </c>
      <c r="N33" s="31">
        <f>SUM(N2:N32)</f>
        <v>48143.370000000017</v>
      </c>
      <c r="O33" s="31">
        <f t="shared" ref="O33:R33" si="7">SUM(O2:O32)</f>
        <v>-2.0499999999994998</v>
      </c>
      <c r="P33" s="32">
        <f t="shared" si="7"/>
        <v>5322</v>
      </c>
      <c r="Q33" s="33"/>
      <c r="R33" s="28">
        <f t="shared" si="7"/>
        <v>0</v>
      </c>
      <c r="S33" s="34">
        <f>SUM(S2:S32)</f>
        <v>-433.72</v>
      </c>
    </row>
    <row r="34" spans="1:19" x14ac:dyDescent="0.25">
      <c r="A34" s="35" t="s">
        <v>8</v>
      </c>
      <c r="B34" s="35">
        <f>+B33</f>
        <v>43502.790000000008</v>
      </c>
      <c r="C34" s="35">
        <f>+C33</f>
        <v>704.26</v>
      </c>
      <c r="D34" s="35">
        <f>+D33</f>
        <v>3481.38</v>
      </c>
      <c r="E34" s="35">
        <f>+E33</f>
        <v>452.89000000000004</v>
      </c>
      <c r="F34" s="35"/>
      <c r="G34" s="35">
        <f>+G33</f>
        <v>5755.72</v>
      </c>
      <c r="H34" s="35"/>
      <c r="I34" s="35"/>
      <c r="J34" s="35">
        <f>+J33</f>
        <v>12317.050000000001</v>
      </c>
      <c r="K34" s="35">
        <f>+K33</f>
        <v>2634.6599999999994</v>
      </c>
      <c r="L34" s="35">
        <f>+L33</f>
        <v>4429.3</v>
      </c>
      <c r="M34" s="35">
        <f>+M33</f>
        <v>61.769999999999996</v>
      </c>
      <c r="N34" s="35"/>
      <c r="O34" s="35"/>
      <c r="P34" s="36"/>
      <c r="Q34" s="36"/>
      <c r="R34" s="35"/>
      <c r="S34" s="35"/>
    </row>
    <row r="35" spans="1:19" x14ac:dyDescent="0.25">
      <c r="A35" s="36" t="s">
        <v>9</v>
      </c>
      <c r="B35" s="36">
        <f>+B33</f>
        <v>43502.790000000008</v>
      </c>
      <c r="C35" s="36">
        <f>+C33</f>
        <v>704.26</v>
      </c>
      <c r="D35" s="36">
        <f>+D33</f>
        <v>3481.38</v>
      </c>
      <c r="E35" s="36">
        <f>+E33</f>
        <v>452.89000000000004</v>
      </c>
      <c r="F35" s="36"/>
      <c r="G35" s="36">
        <f>+G33</f>
        <v>5755.72</v>
      </c>
      <c r="H35" s="36"/>
      <c r="I35" s="36"/>
      <c r="J35" s="36">
        <f>+J33</f>
        <v>12317.050000000001</v>
      </c>
      <c r="K35" s="36">
        <f>+K33</f>
        <v>2634.6599999999994</v>
      </c>
      <c r="L35" s="36">
        <f>+L33</f>
        <v>4429.3</v>
      </c>
      <c r="M35" s="36">
        <f>+M33</f>
        <v>61.769999999999996</v>
      </c>
      <c r="N35" s="36"/>
      <c r="O35" s="36"/>
      <c r="P35" s="36"/>
      <c r="Q35" s="36"/>
      <c r="R35" s="36"/>
      <c r="S35" s="36"/>
    </row>
    <row r="36" spans="1:19" x14ac:dyDescent="0.25">
      <c r="A36" s="36"/>
      <c r="B36" s="36"/>
      <c r="C36" s="36"/>
      <c r="D36" s="36"/>
      <c r="E36" s="36"/>
      <c r="F36" s="36"/>
      <c r="G36" s="36"/>
      <c r="H36" s="44" t="s">
        <v>10</v>
      </c>
      <c r="I36" s="44"/>
      <c r="J36" s="38">
        <v>14879.6</v>
      </c>
      <c r="K36" s="37">
        <f>2761.16+26.43-158.47</f>
        <v>2629.12</v>
      </c>
      <c r="L36" s="37">
        <f>5352.75+306.79</f>
        <v>5659.54</v>
      </c>
      <c r="M36" s="36"/>
      <c r="N36" s="36"/>
      <c r="O36" s="36"/>
      <c r="P36" s="36"/>
      <c r="Q36" s="36"/>
      <c r="R36" s="36"/>
      <c r="S36" s="36"/>
    </row>
    <row r="37" spans="1:19" x14ac:dyDescent="0.25">
      <c r="A37" s="36"/>
      <c r="B37" s="36"/>
      <c r="C37" s="36"/>
      <c r="D37" s="36"/>
      <c r="E37" s="36"/>
      <c r="F37" s="36"/>
      <c r="G37" s="36"/>
      <c r="H37" s="44" t="s">
        <v>11</v>
      </c>
      <c r="I37" s="44"/>
      <c r="J37" s="39">
        <f>+J36-J33</f>
        <v>2562.5499999999993</v>
      </c>
      <c r="K37" s="40">
        <f>+K36-K33</f>
        <v>-5.5399999999995089</v>
      </c>
      <c r="L37" s="40">
        <f>+L36-L33</f>
        <v>1230.2399999999998</v>
      </c>
      <c r="M37" s="36"/>
      <c r="N37" s="36"/>
      <c r="O37" s="36"/>
      <c r="P37" s="36"/>
      <c r="Q37" s="36"/>
      <c r="R37" s="36"/>
      <c r="S37" s="36"/>
    </row>
    <row r="38" spans="1:19" x14ac:dyDescent="0.25">
      <c r="A38" s="36"/>
      <c r="B38" s="36"/>
      <c r="C38" s="36"/>
      <c r="D38" s="36"/>
      <c r="E38" s="36"/>
      <c r="F38" s="36"/>
      <c r="G38" s="36"/>
      <c r="H38" s="44" t="s">
        <v>12</v>
      </c>
      <c r="I38" s="44"/>
      <c r="J38" s="38">
        <v>-2356.6999999999998</v>
      </c>
      <c r="K38" s="37">
        <v>-249.63</v>
      </c>
      <c r="L38" s="37">
        <f>-844.25+412.8</f>
        <v>-431.45</v>
      </c>
      <c r="M38" s="36"/>
      <c r="N38" s="36"/>
      <c r="O38" s="36"/>
      <c r="P38" s="36"/>
      <c r="Q38" s="36"/>
      <c r="R38" s="36"/>
      <c r="S38" s="36"/>
    </row>
    <row r="39" spans="1:19" x14ac:dyDescent="0.25">
      <c r="A39" s="36"/>
      <c r="B39" s="36"/>
      <c r="C39" s="36"/>
      <c r="D39" s="36"/>
      <c r="E39" s="36"/>
      <c r="F39" s="36"/>
      <c r="G39" s="36"/>
      <c r="H39" s="44" t="s">
        <v>13</v>
      </c>
      <c r="I39" s="44"/>
      <c r="J39" s="38">
        <v>-2873.12</v>
      </c>
      <c r="K39" s="37">
        <f>-222.52-146.01</f>
        <v>-368.53</v>
      </c>
      <c r="L39" s="37">
        <v>-1206.08</v>
      </c>
      <c r="M39" s="36"/>
      <c r="N39" s="36"/>
      <c r="O39" s="36"/>
      <c r="P39" s="36"/>
      <c r="Q39" s="36"/>
      <c r="R39" s="36"/>
      <c r="S39" s="36"/>
    </row>
    <row r="40" spans="1:19" x14ac:dyDescent="0.25">
      <c r="A40" s="36"/>
      <c r="B40" s="36"/>
      <c r="C40" s="36"/>
      <c r="D40" s="36"/>
      <c r="E40" s="36"/>
      <c r="F40" s="36"/>
      <c r="G40" s="36"/>
      <c r="H40" s="44" t="s">
        <v>14</v>
      </c>
      <c r="I40" s="44"/>
      <c r="J40" s="38">
        <v>-548.46</v>
      </c>
      <c r="K40" s="37">
        <v>-64.67</v>
      </c>
      <c r="L40" s="37">
        <v>-89.85</v>
      </c>
      <c r="M40" s="36"/>
      <c r="N40" s="36"/>
      <c r="O40" s="36"/>
      <c r="P40" s="36"/>
      <c r="Q40" s="36"/>
      <c r="R40" s="36"/>
      <c r="S40" s="36"/>
    </row>
    <row r="41" spans="1:19" ht="15.75" thickBot="1" x14ac:dyDescent="0.3">
      <c r="A41" s="36"/>
      <c r="B41" s="36"/>
      <c r="C41" s="36"/>
      <c r="D41" s="36"/>
      <c r="E41" s="36"/>
      <c r="F41" s="36"/>
      <c r="G41" s="36"/>
      <c r="H41" s="45" t="s">
        <v>15</v>
      </c>
      <c r="I41" s="45"/>
      <c r="J41" s="41">
        <f>+J36+J38+J39+J40</f>
        <v>9101.3200000000033</v>
      </c>
      <c r="K41" s="42">
        <f>+K36+K38+K39+K40</f>
        <v>1946.2899999999997</v>
      </c>
      <c r="L41" s="42">
        <f>+L36+L38+L39+L40</f>
        <v>3932.1600000000003</v>
      </c>
      <c r="M41" s="36"/>
      <c r="N41" s="36"/>
      <c r="O41" s="36"/>
      <c r="P41" s="36"/>
      <c r="Q41" s="36"/>
      <c r="R41" s="36"/>
      <c r="S41" s="36"/>
    </row>
    <row r="42" spans="1:19" ht="15.75" thickTop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>
        <v>3932.16</v>
      </c>
      <c r="M42" s="36"/>
      <c r="N42" s="36"/>
      <c r="O42" s="36"/>
      <c r="P42" s="36"/>
      <c r="Q42" s="36"/>
      <c r="R42" s="36"/>
      <c r="S42" s="36"/>
    </row>
    <row r="43" spans="1:19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>
        <f>L42-L41</f>
        <v>0</v>
      </c>
      <c r="M43" s="36"/>
      <c r="N43" s="36"/>
      <c r="O43" s="36"/>
      <c r="P43" s="36"/>
      <c r="Q43" s="36"/>
      <c r="R43" s="36"/>
      <c r="S43" s="36"/>
    </row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2025-08-21T05:43:45Z</dcterms:created>
  <dcterms:modified xsi:type="dcterms:W3CDTF">2025-10-08T09:35:31Z</dcterms:modified>
</cp:coreProperties>
</file>