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A5F5E755-3AAF-4EED-B3C8-57451833AF39}" xr6:coauthVersionLast="47" xr6:coauthVersionMax="47" xr10:uidLastSave="{00000000-0000-0000-0000-000000000000}"/>
  <bookViews>
    <workbookView xWindow="-120" yWindow="-120" windowWidth="20730" windowHeight="11040" xr2:uid="{4CCAEC0E-41AB-4761-96F4-FD6E9CE778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C35" i="1"/>
  <c r="B35" i="1"/>
  <c r="A2" i="1"/>
  <c r="J41" i="1"/>
  <c r="K39" i="1"/>
  <c r="L38" i="1"/>
  <c r="L41" i="1" s="1"/>
  <c r="J37" i="1"/>
  <c r="K36" i="1"/>
  <c r="K41" i="1" s="1"/>
  <c r="D34" i="1"/>
  <c r="R33" i="1"/>
  <c r="M33" i="1"/>
  <c r="M35" i="1" s="1"/>
  <c r="L33" i="1"/>
  <c r="L35" i="1" s="1"/>
  <c r="K33" i="1"/>
  <c r="K35" i="1" s="1"/>
  <c r="J33" i="1"/>
  <c r="J35" i="1" s="1"/>
  <c r="I33" i="1"/>
  <c r="G33" i="1"/>
  <c r="G34" i="1" s="1"/>
  <c r="E33" i="1"/>
  <c r="E34" i="1" s="1"/>
  <c r="E35" i="1" s="1"/>
  <c r="D33" i="1"/>
  <c r="C33" i="1"/>
  <c r="C34" i="1" s="1"/>
  <c r="B33" i="1"/>
  <c r="B34" i="1" s="1"/>
  <c r="S32" i="1"/>
  <c r="N32" i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A28" i="1"/>
  <c r="S27" i="1"/>
  <c r="N27" i="1"/>
  <c r="O27" i="1" s="1"/>
  <c r="H27" i="1"/>
  <c r="F27" i="1"/>
  <c r="A27" i="1"/>
  <c r="S26" i="1"/>
  <c r="H26" i="1"/>
  <c r="N26" i="1" s="1"/>
  <c r="F26" i="1"/>
  <c r="A26" i="1"/>
  <c r="S25" i="1"/>
  <c r="N25" i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H17" i="1"/>
  <c r="N17" i="1" s="1"/>
  <c r="F17" i="1"/>
  <c r="A17" i="1"/>
  <c r="S16" i="1"/>
  <c r="H16" i="1"/>
  <c r="N16" i="1" s="1"/>
  <c r="F16" i="1"/>
  <c r="A16" i="1"/>
  <c r="S15" i="1"/>
  <c r="N15" i="1"/>
  <c r="O15" i="1" s="1"/>
  <c r="F15" i="1"/>
  <c r="A15" i="1"/>
  <c r="S14" i="1"/>
  <c r="N14" i="1"/>
  <c r="F14" i="1"/>
  <c r="A14" i="1"/>
  <c r="S13" i="1"/>
  <c r="N13" i="1"/>
  <c r="H13" i="1"/>
  <c r="F13" i="1"/>
  <c r="O13" i="1" s="1"/>
  <c r="A13" i="1"/>
  <c r="S12" i="1"/>
  <c r="N12" i="1"/>
  <c r="O12" i="1" s="1"/>
  <c r="F12" i="1"/>
  <c r="A12" i="1"/>
  <c r="S11" i="1"/>
  <c r="N11" i="1"/>
  <c r="F11" i="1"/>
  <c r="O11" i="1" s="1"/>
  <c r="A11" i="1"/>
  <c r="S10" i="1"/>
  <c r="N10" i="1"/>
  <c r="H10" i="1"/>
  <c r="F10" i="1"/>
  <c r="O10" i="1" s="1"/>
  <c r="A10" i="1"/>
  <c r="S9" i="1"/>
  <c r="N9" i="1"/>
  <c r="F9" i="1"/>
  <c r="A9" i="1"/>
  <c r="S8" i="1"/>
  <c r="N8" i="1"/>
  <c r="F8" i="1"/>
  <c r="O8" i="1" s="1"/>
  <c r="A8" i="1"/>
  <c r="S7" i="1"/>
  <c r="H7" i="1"/>
  <c r="N7" i="1" s="1"/>
  <c r="F7" i="1"/>
  <c r="A7" i="1"/>
  <c r="S6" i="1"/>
  <c r="N6" i="1"/>
  <c r="F6" i="1"/>
  <c r="A6" i="1"/>
  <c r="S5" i="1"/>
  <c r="H5" i="1"/>
  <c r="F5" i="1"/>
  <c r="A5" i="1"/>
  <c r="S4" i="1"/>
  <c r="H4" i="1"/>
  <c r="N4" i="1" s="1"/>
  <c r="F4" i="1"/>
  <c r="A4" i="1"/>
  <c r="S3" i="1"/>
  <c r="N3" i="1"/>
  <c r="O3" i="1" s="1"/>
  <c r="F3" i="1"/>
  <c r="A3" i="1"/>
  <c r="S2" i="1"/>
  <c r="N2" i="1"/>
  <c r="F2" i="1"/>
  <c r="F33" i="1" s="1"/>
  <c r="N33" i="1" l="1"/>
  <c r="O7" i="1"/>
  <c r="O9" i="1"/>
  <c r="L37" i="1"/>
  <c r="O6" i="1"/>
  <c r="O19" i="1"/>
  <c r="H33" i="1"/>
  <c r="S33" i="1"/>
  <c r="O25" i="1"/>
  <c r="O32" i="1"/>
  <c r="J34" i="1"/>
  <c r="O28" i="1"/>
  <c r="O14" i="1"/>
  <c r="O16" i="1"/>
  <c r="K34" i="1"/>
  <c r="O4" i="1"/>
  <c r="O17" i="1"/>
  <c r="O26" i="1"/>
  <c r="K37" i="1"/>
  <c r="O2" i="1"/>
  <c r="N5" i="1"/>
  <c r="L34" i="1"/>
  <c r="M34" i="1"/>
  <c r="O5" i="1" l="1"/>
  <c r="O33" i="1" s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<sst xmlns="http://schemas.openxmlformats.org/spreadsheetml/2006/main" count="28" uniqueCount="28">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</sst>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center"/>
    </xf>
    <xf numFmtId="164" fontId="5" fillId="3" borderId="12" xfId="0" applyNumberFormat="1" applyFont="1" applyFill="1" applyBorder="1" applyAlignment="1">
      <alignment horizontal="right"/>
    </xf>
    <xf numFmtId="164" fontId="4" fillId="0" borderId="13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5" fillId="5" borderId="11" xfId="0" applyNumberFormat="1" applyFont="1" applyFill="1" applyBorder="1" applyAlignment="1">
      <alignment horizontal="right"/>
    </xf>
    <xf numFmtId="14" fontId="4" fillId="0" borderId="11" xfId="0" applyNumberFormat="1" applyFont="1" applyBorder="1" applyAlignment="1">
      <alignment horizontal="right"/>
    </xf>
    <xf numFmtId="0" fontId="0" fillId="0" borderId="6" xfId="0" applyBorder="1"/>
    <xf numFmtId="14" fontId="0" fillId="0" borderId="6" xfId="0" applyNumberFormat="1" applyBorder="1"/>
    <xf numFmtId="0" fontId="6" fillId="2" borderId="15" xfId="0" applyFont="1" applyFill="1" applyBorder="1" applyAlignment="1">
      <alignment horizontal="center"/>
    </xf>
    <xf numFmtId="165" fontId="6" fillId="2" borderId="16" xfId="0" applyNumberFormat="1" applyFont="1" applyFill="1" applyBorder="1" applyAlignment="1">
      <alignment horizontal="right"/>
    </xf>
    <xf numFmtId="165" fontId="6" fillId="3" borderId="16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5" fillId="0" borderId="0" xfId="0" applyNumberFormat="1" applyFont="1" applyAlignment="1">
      <alignment horizontal="right"/>
    </xf>
    <xf numFmtId="165" fontId="0" fillId="6" borderId="18" xfId="0" applyNumberForma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8B86-1827-4238-9929-500C95A642EF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4" max="14" width="10.85546875" bestFit="1" customWidth="1"/>
    <col min="15" max="15" width="11.85546875" customWidth="1"/>
    <col min="16" max="16" width="15" customWidth="1"/>
    <col min="17" max="17" width="10.42578125" bestFit="1" customWidth="1"/>
  </cols>
  <sheetData>
    <row r="1" spans="1:19" ht="48" thickBot="1" x14ac:dyDescent="0.3">
      <c r="A1" s="45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1950.96</v>
      </c>
      <c r="C2" s="7">
        <v>57.21</v>
      </c>
      <c r="D2" s="8">
        <v>117.41</v>
      </c>
      <c r="E2" s="8">
        <v>10.18</v>
      </c>
      <c r="F2" s="9">
        <f>SUM(B2:E2)</f>
        <v>2135.7599999999998</v>
      </c>
      <c r="G2" s="10">
        <v>286.99</v>
      </c>
      <c r="H2" s="8">
        <v>1352.52</v>
      </c>
      <c r="I2" s="8">
        <v>0</v>
      </c>
      <c r="J2" s="8">
        <v>462.95</v>
      </c>
      <c r="K2" s="8">
        <v>11.94</v>
      </c>
      <c r="L2" s="8">
        <v>21.33</v>
      </c>
      <c r="M2" s="8">
        <v>0</v>
      </c>
      <c r="N2" s="11">
        <f t="shared" ref="N2:N32" si="0">SUM(G2:M2)</f>
        <v>2135.73</v>
      </c>
      <c r="O2" s="12">
        <f t="shared" ref="O2:O32" si="1">+F2-N2</f>
        <v>2.9999999999745341E-2</v>
      </c>
      <c r="P2" s="8">
        <v>282</v>
      </c>
      <c r="Q2" s="13">
        <v>45840</v>
      </c>
      <c r="R2" s="14"/>
      <c r="S2" s="15">
        <f t="shared" ref="S2:S32" si="2">P2-G2-R2</f>
        <v>-4.9900000000000091</v>
      </c>
    </row>
    <row r="3" spans="1:19" x14ac:dyDescent="0.25">
      <c r="A3" s="6">
        <f>'[1]Cash Variance'!A4</f>
        <v>45840</v>
      </c>
      <c r="B3" s="7">
        <v>2176.79</v>
      </c>
      <c r="C3" s="7">
        <v>35.909999999999997</v>
      </c>
      <c r="D3" s="8">
        <v>130.91999999999999</v>
      </c>
      <c r="E3" s="8">
        <v>94.63</v>
      </c>
      <c r="F3" s="9">
        <f t="shared" ref="F3:F32" si="3">SUM(B3:E3)</f>
        <v>2438.25</v>
      </c>
      <c r="G3" s="8">
        <v>297.06</v>
      </c>
      <c r="H3" s="8">
        <v>1688.7</v>
      </c>
      <c r="I3" s="8">
        <v>41.52</v>
      </c>
      <c r="J3" s="8">
        <v>410.93</v>
      </c>
      <c r="K3" s="8">
        <v>0</v>
      </c>
      <c r="L3" s="8">
        <v>0</v>
      </c>
      <c r="M3" s="8">
        <v>0</v>
      </c>
      <c r="N3" s="11">
        <f t="shared" si="0"/>
        <v>2438.21</v>
      </c>
      <c r="O3" s="12">
        <f t="shared" si="1"/>
        <v>3.999999999996362E-2</v>
      </c>
      <c r="P3" s="8">
        <v>295</v>
      </c>
      <c r="Q3" s="13">
        <v>45841</v>
      </c>
      <c r="R3" s="14"/>
      <c r="S3" s="15">
        <f t="shared" si="2"/>
        <v>-2.0600000000000023</v>
      </c>
    </row>
    <row r="4" spans="1:19" x14ac:dyDescent="0.25">
      <c r="A4" s="6">
        <f>'[1]Cash Variance'!A5</f>
        <v>45841</v>
      </c>
      <c r="B4" s="7">
        <v>1708.48</v>
      </c>
      <c r="C4" s="7">
        <v>67.37</v>
      </c>
      <c r="D4" s="8">
        <v>102.79</v>
      </c>
      <c r="E4" s="8">
        <v>20.71</v>
      </c>
      <c r="F4" s="9">
        <f t="shared" si="3"/>
        <v>1899.35</v>
      </c>
      <c r="G4" s="8">
        <v>345.34</v>
      </c>
      <c r="H4" s="8">
        <f>1236.1-2.5</f>
        <v>1233.5999999999999</v>
      </c>
      <c r="I4" s="8">
        <v>0</v>
      </c>
      <c r="J4" s="8">
        <v>274.48</v>
      </c>
      <c r="K4" s="8">
        <v>32.4</v>
      </c>
      <c r="L4" s="8">
        <v>13.53</v>
      </c>
      <c r="M4" s="8">
        <v>0</v>
      </c>
      <c r="N4" s="11">
        <f t="shared" si="0"/>
        <v>1899.35</v>
      </c>
      <c r="O4" s="12">
        <f t="shared" si="1"/>
        <v>0</v>
      </c>
      <c r="P4" s="8">
        <v>337</v>
      </c>
      <c r="Q4" s="13">
        <v>45845</v>
      </c>
      <c r="R4" s="13"/>
      <c r="S4" s="15">
        <f t="shared" si="2"/>
        <v>-8.339999999999975</v>
      </c>
    </row>
    <row r="5" spans="1:19" x14ac:dyDescent="0.25">
      <c r="A5" s="6">
        <f>'[1]Cash Variance'!A6</f>
        <v>45842</v>
      </c>
      <c r="B5" s="7">
        <v>1639.34</v>
      </c>
      <c r="C5" s="7">
        <v>89.2</v>
      </c>
      <c r="D5" s="8">
        <v>98.65</v>
      </c>
      <c r="E5" s="8">
        <v>31.13</v>
      </c>
      <c r="F5" s="9">
        <f t="shared" si="3"/>
        <v>1858.3200000000002</v>
      </c>
      <c r="G5" s="8">
        <v>335.3</v>
      </c>
      <c r="H5" s="8">
        <f>1079.78-7.47</f>
        <v>1072.31</v>
      </c>
      <c r="I5" s="8">
        <v>12.96</v>
      </c>
      <c r="J5" s="8">
        <v>376.96</v>
      </c>
      <c r="K5" s="8">
        <v>16.12</v>
      </c>
      <c r="L5" s="8">
        <v>44.67</v>
      </c>
      <c r="M5" s="8">
        <v>0</v>
      </c>
      <c r="N5" s="11">
        <f t="shared" si="0"/>
        <v>1858.32</v>
      </c>
      <c r="O5" s="12">
        <f t="shared" si="1"/>
        <v>0</v>
      </c>
      <c r="P5" s="8">
        <v>338</v>
      </c>
      <c r="Q5" s="13">
        <v>45845</v>
      </c>
      <c r="R5" s="14"/>
      <c r="S5" s="15">
        <f t="shared" si="2"/>
        <v>2.6999999999999886</v>
      </c>
    </row>
    <row r="6" spans="1:19" x14ac:dyDescent="0.25">
      <c r="A6" s="6">
        <f>'[1]Cash Variance'!A7</f>
        <v>45843</v>
      </c>
      <c r="B6" s="7">
        <v>2041.2</v>
      </c>
      <c r="C6" s="7">
        <v>11.97</v>
      </c>
      <c r="D6" s="8">
        <v>122.82</v>
      </c>
      <c r="E6" s="8">
        <v>11.36</v>
      </c>
      <c r="F6" s="9">
        <f t="shared" si="3"/>
        <v>2187.3500000000004</v>
      </c>
      <c r="G6" s="8">
        <v>390.83</v>
      </c>
      <c r="H6" s="8">
        <v>1482.94</v>
      </c>
      <c r="I6" s="8">
        <v>29.64</v>
      </c>
      <c r="J6" s="8">
        <v>283.93</v>
      </c>
      <c r="K6" s="8">
        <v>0</v>
      </c>
      <c r="L6" s="8">
        <v>0</v>
      </c>
      <c r="M6" s="8">
        <v>0</v>
      </c>
      <c r="N6" s="11">
        <f t="shared" si="0"/>
        <v>2187.34</v>
      </c>
      <c r="O6" s="12">
        <f t="shared" si="1"/>
        <v>1.0000000000218279E-2</v>
      </c>
      <c r="P6" s="8">
        <v>391</v>
      </c>
      <c r="Q6" s="13">
        <v>45845</v>
      </c>
      <c r="R6" s="14"/>
      <c r="S6" s="15">
        <f t="shared" si="2"/>
        <v>0.17000000000001592</v>
      </c>
    </row>
    <row r="7" spans="1:19" x14ac:dyDescent="0.25">
      <c r="A7" s="6">
        <f>'[1]Cash Variance'!A8</f>
        <v>45844</v>
      </c>
      <c r="B7" s="7">
        <v>1710.89</v>
      </c>
      <c r="C7" s="7">
        <v>135.09</v>
      </c>
      <c r="D7" s="8">
        <v>102.97</v>
      </c>
      <c r="E7" s="8">
        <v>35.83</v>
      </c>
      <c r="F7" s="9">
        <f t="shared" si="3"/>
        <v>1984.78</v>
      </c>
      <c r="G7" s="8">
        <v>263.16000000000003</v>
      </c>
      <c r="H7" s="8">
        <f>1283.45-3.81</f>
        <v>1279.6400000000001</v>
      </c>
      <c r="I7" s="8">
        <v>0</v>
      </c>
      <c r="J7" s="8">
        <v>338.94</v>
      </c>
      <c r="K7" s="8">
        <v>11.76</v>
      </c>
      <c r="L7" s="8">
        <v>91.28</v>
      </c>
      <c r="M7" s="8">
        <v>0</v>
      </c>
      <c r="N7" s="11">
        <f t="shared" si="0"/>
        <v>1984.7800000000002</v>
      </c>
      <c r="O7" s="12">
        <f t="shared" si="1"/>
        <v>0</v>
      </c>
      <c r="P7" s="8">
        <v>261</v>
      </c>
      <c r="Q7" s="13">
        <v>45845</v>
      </c>
      <c r="R7" s="14"/>
      <c r="S7" s="15">
        <f t="shared" si="2"/>
        <v>-2.160000000000025</v>
      </c>
    </row>
    <row r="8" spans="1:19" x14ac:dyDescent="0.25">
      <c r="A8" s="16">
        <f>'[1]Cash Variance'!A9</f>
        <v>45845</v>
      </c>
      <c r="B8" s="17">
        <v>844.45</v>
      </c>
      <c r="C8" s="17">
        <v>3.99</v>
      </c>
      <c r="D8" s="18">
        <v>50.79</v>
      </c>
      <c r="E8" s="18">
        <v>3.78</v>
      </c>
      <c r="F8" s="9">
        <f t="shared" si="3"/>
        <v>903.01</v>
      </c>
      <c r="G8" s="8">
        <v>322.88</v>
      </c>
      <c r="H8" s="8">
        <v>546.77</v>
      </c>
      <c r="I8" s="8">
        <v>33.36</v>
      </c>
      <c r="J8" s="8">
        <v>0</v>
      </c>
      <c r="K8" s="8">
        <v>0</v>
      </c>
      <c r="L8" s="8">
        <v>0</v>
      </c>
      <c r="M8" s="8">
        <v>0</v>
      </c>
      <c r="N8" s="11">
        <f t="shared" si="0"/>
        <v>903.01</v>
      </c>
      <c r="O8" s="12">
        <f t="shared" si="1"/>
        <v>0</v>
      </c>
      <c r="P8" s="8">
        <v>328</v>
      </c>
      <c r="Q8" s="13">
        <v>45846</v>
      </c>
      <c r="R8" s="14"/>
      <c r="S8" s="15">
        <f t="shared" si="2"/>
        <v>5.1200000000000045</v>
      </c>
    </row>
    <row r="9" spans="1:19" x14ac:dyDescent="0.25">
      <c r="A9" s="19">
        <f>'[1]Cash Variance'!A10</f>
        <v>45846</v>
      </c>
      <c r="B9" s="7">
        <v>1408.6</v>
      </c>
      <c r="C9" s="7">
        <v>74.28</v>
      </c>
      <c r="D9" s="10">
        <v>84.74</v>
      </c>
      <c r="E9" s="10">
        <v>7</v>
      </c>
      <c r="F9" s="20">
        <f t="shared" si="3"/>
        <v>1574.62</v>
      </c>
      <c r="G9" s="8">
        <v>236.01</v>
      </c>
      <c r="H9" s="8">
        <v>860.7</v>
      </c>
      <c r="I9" s="8">
        <v>0</v>
      </c>
      <c r="J9" s="8">
        <v>419.51</v>
      </c>
      <c r="K9" s="8">
        <v>0</v>
      </c>
      <c r="L9" s="8">
        <v>58.32</v>
      </c>
      <c r="M9" s="8">
        <v>0</v>
      </c>
      <c r="N9" s="11">
        <f t="shared" si="0"/>
        <v>1574.54</v>
      </c>
      <c r="O9" s="12">
        <f t="shared" si="1"/>
        <v>7.999999999992724E-2</v>
      </c>
      <c r="P9" s="8">
        <v>236</v>
      </c>
      <c r="Q9" s="13">
        <v>45847</v>
      </c>
      <c r="R9" s="14"/>
      <c r="S9" s="15">
        <f t="shared" si="2"/>
        <v>-9.9999999999909051E-3</v>
      </c>
    </row>
    <row r="10" spans="1:19" x14ac:dyDescent="0.25">
      <c r="A10" s="19">
        <f>'[1]Cash Variance'!A11</f>
        <v>45847</v>
      </c>
      <c r="B10" s="7">
        <v>1412.28</v>
      </c>
      <c r="C10" s="7">
        <v>85.96</v>
      </c>
      <c r="D10" s="10">
        <v>85</v>
      </c>
      <c r="E10" s="10">
        <v>18.100000000000001</v>
      </c>
      <c r="F10" s="20">
        <f t="shared" si="3"/>
        <v>1601.34</v>
      </c>
      <c r="G10" s="8">
        <v>202.88</v>
      </c>
      <c r="H10" s="8">
        <f>1275.89-1.9</f>
        <v>1273.99</v>
      </c>
      <c r="I10" s="8">
        <v>0</v>
      </c>
      <c r="J10" s="8">
        <v>64.44</v>
      </c>
      <c r="K10" s="8">
        <v>0</v>
      </c>
      <c r="L10" s="8">
        <v>60.03</v>
      </c>
      <c r="M10" s="8">
        <v>0</v>
      </c>
      <c r="N10" s="11">
        <f t="shared" si="0"/>
        <v>1601.34</v>
      </c>
      <c r="O10" s="12">
        <f t="shared" si="1"/>
        <v>0</v>
      </c>
      <c r="P10" s="8">
        <v>206</v>
      </c>
      <c r="Q10" s="13">
        <v>45848</v>
      </c>
      <c r="R10" s="14"/>
      <c r="S10" s="15">
        <f t="shared" si="2"/>
        <v>3.1200000000000045</v>
      </c>
    </row>
    <row r="11" spans="1:19" x14ac:dyDescent="0.25">
      <c r="A11" s="6">
        <f>'[1]Cash Variance'!A12</f>
        <v>45848</v>
      </c>
      <c r="B11" s="21">
        <v>1406.31</v>
      </c>
      <c r="C11" s="21">
        <v>80.3</v>
      </c>
      <c r="D11" s="22">
        <v>84.61</v>
      </c>
      <c r="E11" s="22">
        <v>46.3</v>
      </c>
      <c r="F11" s="9">
        <f t="shared" si="3"/>
        <v>1617.5199999999998</v>
      </c>
      <c r="G11" s="8">
        <v>166.53</v>
      </c>
      <c r="H11" s="8">
        <v>1107.26</v>
      </c>
      <c r="I11" s="8">
        <v>0</v>
      </c>
      <c r="J11" s="8">
        <v>299.31</v>
      </c>
      <c r="K11" s="8">
        <v>33.42</v>
      </c>
      <c r="L11" s="8">
        <v>10.97</v>
      </c>
      <c r="M11" s="8">
        <v>0</v>
      </c>
      <c r="N11" s="11">
        <f t="shared" si="0"/>
        <v>1617.49</v>
      </c>
      <c r="O11" s="12">
        <f t="shared" si="1"/>
        <v>2.9999999999745341E-2</v>
      </c>
      <c r="P11" s="8">
        <v>167</v>
      </c>
      <c r="Q11" s="13">
        <v>45849</v>
      </c>
      <c r="R11" s="14"/>
      <c r="S11" s="15">
        <f t="shared" si="2"/>
        <v>0.46999999999999886</v>
      </c>
    </row>
    <row r="12" spans="1:19" x14ac:dyDescent="0.25">
      <c r="A12" s="6">
        <f>'[1]Cash Variance'!A13</f>
        <v>45849</v>
      </c>
      <c r="B12" s="7">
        <v>2004.5</v>
      </c>
      <c r="C12" s="7">
        <v>75.5</v>
      </c>
      <c r="D12" s="8">
        <v>120.64</v>
      </c>
      <c r="E12" s="8">
        <v>45.37</v>
      </c>
      <c r="F12" s="9">
        <f t="shared" si="3"/>
        <v>2246.0099999999998</v>
      </c>
      <c r="G12" s="8">
        <v>346.24</v>
      </c>
      <c r="H12" s="8">
        <v>1420.46</v>
      </c>
      <c r="I12" s="8">
        <v>0</v>
      </c>
      <c r="J12" s="8">
        <v>451.6</v>
      </c>
      <c r="K12" s="8">
        <v>10.74</v>
      </c>
      <c r="L12" s="8">
        <v>16.88</v>
      </c>
      <c r="M12" s="8">
        <v>0</v>
      </c>
      <c r="N12" s="11">
        <f t="shared" si="0"/>
        <v>2245.92</v>
      </c>
      <c r="O12" s="12">
        <f t="shared" si="1"/>
        <v>8.9999999999690772E-2</v>
      </c>
      <c r="P12" s="8">
        <v>345</v>
      </c>
      <c r="Q12" s="13">
        <v>45852</v>
      </c>
      <c r="R12" s="14"/>
      <c r="S12" s="15">
        <f t="shared" si="2"/>
        <v>-1.2400000000000091</v>
      </c>
    </row>
    <row r="13" spans="1:19" x14ac:dyDescent="0.25">
      <c r="A13" s="6">
        <f>'[1]Cash Variance'!A14</f>
        <v>45850</v>
      </c>
      <c r="B13" s="7">
        <v>2211.42</v>
      </c>
      <c r="C13" s="7">
        <v>114.26</v>
      </c>
      <c r="D13" s="8">
        <v>133.02000000000001</v>
      </c>
      <c r="E13" s="8">
        <v>36.54</v>
      </c>
      <c r="F13" s="9">
        <f t="shared" si="3"/>
        <v>2495.2400000000002</v>
      </c>
      <c r="G13" s="8">
        <v>221.42</v>
      </c>
      <c r="H13" s="8">
        <f>1763.21-4.87</f>
        <v>1758.3400000000001</v>
      </c>
      <c r="I13" s="8">
        <v>15.88</v>
      </c>
      <c r="J13" s="8">
        <v>420.24</v>
      </c>
      <c r="K13" s="8">
        <v>20.91</v>
      </c>
      <c r="L13" s="8">
        <v>58.45</v>
      </c>
      <c r="M13" s="8">
        <v>0</v>
      </c>
      <c r="N13" s="11">
        <f t="shared" si="0"/>
        <v>2495.2399999999998</v>
      </c>
      <c r="O13" s="12">
        <f t="shared" si="1"/>
        <v>0</v>
      </c>
      <c r="P13" s="8">
        <v>223</v>
      </c>
      <c r="Q13" s="13">
        <v>45852</v>
      </c>
      <c r="R13" s="14"/>
      <c r="S13" s="15">
        <f t="shared" si="2"/>
        <v>1.5800000000000125</v>
      </c>
    </row>
    <row r="14" spans="1:19" x14ac:dyDescent="0.25">
      <c r="A14" s="6">
        <f>'[1]Cash Variance'!A15</f>
        <v>45851</v>
      </c>
      <c r="B14" s="7">
        <v>1883.87</v>
      </c>
      <c r="C14" s="7">
        <v>175.46</v>
      </c>
      <c r="D14" s="8">
        <v>113.26</v>
      </c>
      <c r="E14" s="8">
        <v>26.47</v>
      </c>
      <c r="F14" s="9">
        <f t="shared" si="3"/>
        <v>2199.06</v>
      </c>
      <c r="G14" s="8">
        <v>245.64</v>
      </c>
      <c r="H14" s="8">
        <v>1440.38</v>
      </c>
      <c r="I14" s="8">
        <v>15.34</v>
      </c>
      <c r="J14" s="8">
        <v>358.1</v>
      </c>
      <c r="K14" s="8">
        <v>20.3</v>
      </c>
      <c r="L14" s="8">
        <v>120.5</v>
      </c>
      <c r="M14" s="8">
        <v>0</v>
      </c>
      <c r="N14" s="11">
        <f t="shared" si="0"/>
        <v>2200.2600000000002</v>
      </c>
      <c r="O14" s="12">
        <f t="shared" si="1"/>
        <v>-1.2000000000002728</v>
      </c>
      <c r="P14" s="8">
        <v>246</v>
      </c>
      <c r="Q14" s="13">
        <v>45852</v>
      </c>
      <c r="R14" s="14"/>
      <c r="S14" s="15">
        <f t="shared" si="2"/>
        <v>0.36000000000001364</v>
      </c>
    </row>
    <row r="15" spans="1:19" x14ac:dyDescent="0.25">
      <c r="A15" s="6">
        <f>'[1]Cash Variance'!A16</f>
        <v>45852</v>
      </c>
      <c r="B15" s="7">
        <v>1616.22</v>
      </c>
      <c r="C15" s="7">
        <v>27.93</v>
      </c>
      <c r="D15" s="10">
        <v>97.29</v>
      </c>
      <c r="E15" s="8">
        <v>26.92</v>
      </c>
      <c r="F15" s="9">
        <f t="shared" si="3"/>
        <v>1768.3600000000001</v>
      </c>
      <c r="G15" s="8">
        <v>384.3</v>
      </c>
      <c r="H15" s="8">
        <v>1045.1300000000001</v>
      </c>
      <c r="I15" s="8">
        <v>0</v>
      </c>
      <c r="J15" s="8">
        <v>338.92</v>
      </c>
      <c r="K15" s="8">
        <v>0</v>
      </c>
      <c r="L15" s="8">
        <v>0</v>
      </c>
      <c r="M15" s="8">
        <v>0</v>
      </c>
      <c r="N15" s="11">
        <f t="shared" si="0"/>
        <v>1768.3500000000001</v>
      </c>
      <c r="O15" s="12">
        <f t="shared" si="1"/>
        <v>9.9999999999909051E-3</v>
      </c>
      <c r="P15" s="23">
        <v>384</v>
      </c>
      <c r="Q15" s="13">
        <v>45853</v>
      </c>
      <c r="R15" s="14"/>
      <c r="S15" s="15">
        <f t="shared" si="2"/>
        <v>-0.30000000000001137</v>
      </c>
    </row>
    <row r="16" spans="1:19" x14ac:dyDescent="0.25">
      <c r="A16" s="6">
        <f>'[1]Cash Variance'!A17</f>
        <v>45853</v>
      </c>
      <c r="B16" s="7">
        <v>1155.51</v>
      </c>
      <c r="C16" s="7">
        <v>43.53</v>
      </c>
      <c r="D16" s="10">
        <v>69.55</v>
      </c>
      <c r="E16" s="10">
        <v>22.58</v>
      </c>
      <c r="F16" s="9">
        <f t="shared" si="3"/>
        <v>1291.1699999999998</v>
      </c>
      <c r="G16" s="10">
        <v>180.75</v>
      </c>
      <c r="H16" s="10">
        <f>891.2-2.49</f>
        <v>888.71</v>
      </c>
      <c r="I16" s="10">
        <v>9.5299999999999994</v>
      </c>
      <c r="J16" s="10">
        <v>194.08</v>
      </c>
      <c r="K16" s="10">
        <v>0</v>
      </c>
      <c r="L16" s="10">
        <v>18.100000000000001</v>
      </c>
      <c r="M16" s="8">
        <v>0</v>
      </c>
      <c r="N16" s="11">
        <f t="shared" si="0"/>
        <v>1291.1699999999998</v>
      </c>
      <c r="O16" s="12">
        <f t="shared" si="1"/>
        <v>0</v>
      </c>
      <c r="P16" s="23">
        <v>181</v>
      </c>
      <c r="Q16" s="13">
        <v>45854</v>
      </c>
      <c r="R16" s="14"/>
      <c r="S16" s="15">
        <f t="shared" si="2"/>
        <v>0.25</v>
      </c>
    </row>
    <row r="17" spans="1:19" x14ac:dyDescent="0.25">
      <c r="A17" s="6">
        <f>'[1]Cash Variance'!A18</f>
        <v>45854</v>
      </c>
      <c r="B17" s="7">
        <v>1585.84</v>
      </c>
      <c r="C17" s="7">
        <v>64.989999999999995</v>
      </c>
      <c r="D17" s="10">
        <v>95.42</v>
      </c>
      <c r="E17" s="10">
        <v>29.84</v>
      </c>
      <c r="F17" s="9">
        <f t="shared" si="3"/>
        <v>1776.09</v>
      </c>
      <c r="G17" s="10">
        <v>152.19999999999999</v>
      </c>
      <c r="H17" s="10">
        <f>1191.71-4.97</f>
        <v>1186.74</v>
      </c>
      <c r="I17" s="10">
        <v>38.340000000000003</v>
      </c>
      <c r="J17" s="10">
        <v>368.72</v>
      </c>
      <c r="K17" s="10">
        <v>0</v>
      </c>
      <c r="L17" s="10">
        <v>30.09</v>
      </c>
      <c r="M17" s="8">
        <v>0</v>
      </c>
      <c r="N17" s="11">
        <f t="shared" si="0"/>
        <v>1776.09</v>
      </c>
      <c r="O17" s="12">
        <f t="shared" si="1"/>
        <v>0</v>
      </c>
      <c r="P17" s="23">
        <v>152</v>
      </c>
      <c r="Q17" s="13">
        <v>45856</v>
      </c>
      <c r="R17" s="14"/>
      <c r="S17" s="15">
        <f t="shared" si="2"/>
        <v>-0.19999999999998863</v>
      </c>
    </row>
    <row r="18" spans="1:19" x14ac:dyDescent="0.25">
      <c r="A18" s="6">
        <f>'[1]Cash Variance'!A19</f>
        <v>45855</v>
      </c>
      <c r="B18" s="7">
        <v>1820.45</v>
      </c>
      <c r="C18" s="7">
        <v>56.25</v>
      </c>
      <c r="D18" s="10">
        <v>109.52</v>
      </c>
      <c r="E18" s="10">
        <v>12.6</v>
      </c>
      <c r="F18" s="9">
        <f t="shared" si="3"/>
        <v>1998.82</v>
      </c>
      <c r="G18" s="10">
        <v>199.79</v>
      </c>
      <c r="H18" s="10">
        <v>1412.47</v>
      </c>
      <c r="I18" s="10">
        <v>11.66</v>
      </c>
      <c r="J18" s="10">
        <v>334.58</v>
      </c>
      <c r="K18" s="10">
        <v>13.15</v>
      </c>
      <c r="L18" s="10">
        <v>27.14</v>
      </c>
      <c r="M18" s="8">
        <v>0</v>
      </c>
      <c r="N18" s="11">
        <f t="shared" si="0"/>
        <v>1998.7900000000002</v>
      </c>
      <c r="O18" s="12">
        <f t="shared" si="1"/>
        <v>2.9999999999745341E-2</v>
      </c>
      <c r="P18" s="23">
        <v>199</v>
      </c>
      <c r="Q18" s="13">
        <v>45856</v>
      </c>
      <c r="R18" s="14"/>
      <c r="S18" s="15">
        <f t="shared" si="2"/>
        <v>-0.78999999999999204</v>
      </c>
    </row>
    <row r="19" spans="1:19" x14ac:dyDescent="0.25">
      <c r="A19" s="6">
        <f>'[1]Cash Variance'!A20</f>
        <v>45856</v>
      </c>
      <c r="B19" s="7">
        <v>2255.56</v>
      </c>
      <c r="C19" s="7">
        <v>79.94</v>
      </c>
      <c r="D19" s="8">
        <v>135.75</v>
      </c>
      <c r="E19" s="8">
        <v>38.380000000000003</v>
      </c>
      <c r="F19" s="9">
        <f t="shared" si="3"/>
        <v>2509.63</v>
      </c>
      <c r="G19" s="8">
        <v>220.3</v>
      </c>
      <c r="H19" s="8">
        <v>1721.91</v>
      </c>
      <c r="I19" s="8">
        <v>0</v>
      </c>
      <c r="J19" s="8">
        <v>535.34</v>
      </c>
      <c r="K19" s="8">
        <v>16.22</v>
      </c>
      <c r="L19" s="8">
        <v>15.84</v>
      </c>
      <c r="M19" s="8">
        <v>0</v>
      </c>
      <c r="N19" s="11">
        <f t="shared" si="0"/>
        <v>2509.61</v>
      </c>
      <c r="O19" s="12">
        <f t="shared" si="1"/>
        <v>1.999999999998181E-2</v>
      </c>
      <c r="P19" s="23">
        <v>209</v>
      </c>
      <c r="Q19" s="13">
        <v>45859</v>
      </c>
      <c r="R19" s="14"/>
      <c r="S19" s="15">
        <f t="shared" si="2"/>
        <v>-11.300000000000011</v>
      </c>
    </row>
    <row r="20" spans="1:19" x14ac:dyDescent="0.25">
      <c r="A20" s="6">
        <f>'[1]Cash Variance'!A21</f>
        <v>45857</v>
      </c>
      <c r="B20" s="7">
        <v>1941.85</v>
      </c>
      <c r="C20" s="7">
        <v>68.75</v>
      </c>
      <c r="D20" s="8">
        <v>116.88</v>
      </c>
      <c r="E20" s="8">
        <v>15.79</v>
      </c>
      <c r="F20" s="9">
        <f t="shared" si="3"/>
        <v>2143.27</v>
      </c>
      <c r="G20" s="8">
        <v>242.49</v>
      </c>
      <c r="H20" s="8">
        <v>1361.74</v>
      </c>
      <c r="I20" s="8">
        <v>0</v>
      </c>
      <c r="J20" s="8">
        <v>486.23</v>
      </c>
      <c r="K20" s="8">
        <v>33.47</v>
      </c>
      <c r="L20" s="8">
        <v>19.32</v>
      </c>
      <c r="M20" s="8">
        <v>0</v>
      </c>
      <c r="N20" s="11">
        <f t="shared" si="0"/>
        <v>2143.25</v>
      </c>
      <c r="O20" s="12">
        <f t="shared" si="1"/>
        <v>1.999999999998181E-2</v>
      </c>
      <c r="P20" s="23">
        <v>243</v>
      </c>
      <c r="Q20" s="13">
        <v>45859</v>
      </c>
      <c r="R20" s="14"/>
      <c r="S20" s="15">
        <f t="shared" si="2"/>
        <v>0.50999999999999091</v>
      </c>
    </row>
    <row r="21" spans="1:19" x14ac:dyDescent="0.25">
      <c r="A21" s="6">
        <f>'[1]Cash Variance'!A22</f>
        <v>45858</v>
      </c>
      <c r="B21" s="7">
        <v>1592.67</v>
      </c>
      <c r="C21" s="7">
        <v>142.87</v>
      </c>
      <c r="D21" s="8">
        <v>95.84</v>
      </c>
      <c r="E21" s="8">
        <v>26.31</v>
      </c>
      <c r="F21" s="9">
        <f t="shared" si="3"/>
        <v>1857.6899999999998</v>
      </c>
      <c r="G21" s="8">
        <v>176.68</v>
      </c>
      <c r="H21" s="8">
        <v>1263.75</v>
      </c>
      <c r="I21" s="8">
        <v>0</v>
      </c>
      <c r="J21" s="8">
        <v>310.29000000000002</v>
      </c>
      <c r="K21" s="8">
        <v>63.84</v>
      </c>
      <c r="L21" s="8">
        <v>43.12</v>
      </c>
      <c r="M21" s="8">
        <v>0</v>
      </c>
      <c r="N21" s="11">
        <f t="shared" si="0"/>
        <v>1857.6799999999998</v>
      </c>
      <c r="O21" s="12">
        <f t="shared" si="1"/>
        <v>9.9999999999909051E-3</v>
      </c>
      <c r="P21" s="23">
        <v>177</v>
      </c>
      <c r="Q21" s="13">
        <v>45859</v>
      </c>
      <c r="R21" s="14"/>
      <c r="S21" s="15">
        <f t="shared" si="2"/>
        <v>0.31999999999999318</v>
      </c>
    </row>
    <row r="22" spans="1:19" x14ac:dyDescent="0.25">
      <c r="A22" s="6">
        <f>'[1]Cash Variance'!A23</f>
        <v>45859</v>
      </c>
      <c r="B22" s="7">
        <v>1593.59</v>
      </c>
      <c r="C22" s="7">
        <v>35.799999999999997</v>
      </c>
      <c r="D22" s="8">
        <v>95.95</v>
      </c>
      <c r="E22" s="10">
        <v>12.15</v>
      </c>
      <c r="F22" s="9">
        <f t="shared" si="3"/>
        <v>1737.49</v>
      </c>
      <c r="G22" s="8">
        <v>292.19</v>
      </c>
      <c r="H22" s="8">
        <v>1005.8</v>
      </c>
      <c r="I22" s="8">
        <v>0</v>
      </c>
      <c r="J22" s="8">
        <v>423.6</v>
      </c>
      <c r="K22" s="8">
        <v>0</v>
      </c>
      <c r="L22" s="8">
        <v>15.85</v>
      </c>
      <c r="M22" s="8">
        <v>0</v>
      </c>
      <c r="N22" s="11">
        <f t="shared" si="0"/>
        <v>1737.44</v>
      </c>
      <c r="O22" s="12">
        <f t="shared" si="1"/>
        <v>4.9999999999954525E-2</v>
      </c>
      <c r="P22" s="23">
        <v>292</v>
      </c>
      <c r="Q22" s="13">
        <v>45860</v>
      </c>
      <c r="R22" s="24"/>
      <c r="S22" s="15">
        <f t="shared" si="2"/>
        <v>-0.18999999999999773</v>
      </c>
    </row>
    <row r="23" spans="1:19" x14ac:dyDescent="0.25">
      <c r="A23" s="6">
        <f>'[1]Cash Variance'!A24</f>
        <v>45860</v>
      </c>
      <c r="B23" s="7">
        <v>1346.67</v>
      </c>
      <c r="C23" s="7">
        <v>15.96</v>
      </c>
      <c r="D23" s="8">
        <v>81.06</v>
      </c>
      <c r="E23" s="10">
        <v>14.99</v>
      </c>
      <c r="F23" s="9">
        <f t="shared" si="3"/>
        <v>1458.68</v>
      </c>
      <c r="G23" s="8">
        <v>161.51</v>
      </c>
      <c r="H23" s="8">
        <v>922.34</v>
      </c>
      <c r="I23" s="8">
        <v>40.75</v>
      </c>
      <c r="J23" s="8">
        <v>334.53</v>
      </c>
      <c r="K23" s="8">
        <v>0</v>
      </c>
      <c r="L23" s="8">
        <v>0</v>
      </c>
      <c r="M23" s="8">
        <v>0</v>
      </c>
      <c r="N23" s="11">
        <f t="shared" si="0"/>
        <v>1459.1299999999999</v>
      </c>
      <c r="O23" s="12">
        <f t="shared" si="1"/>
        <v>-0.4499999999998181</v>
      </c>
      <c r="P23" s="23">
        <v>155</v>
      </c>
      <c r="Q23" s="13">
        <v>45862</v>
      </c>
      <c r="R23" s="14"/>
      <c r="S23" s="15">
        <f t="shared" si="2"/>
        <v>-6.5099999999999909</v>
      </c>
    </row>
    <row r="24" spans="1:19" x14ac:dyDescent="0.25">
      <c r="A24" s="6">
        <f>'[1]Cash Variance'!A25</f>
        <v>45861</v>
      </c>
      <c r="B24" s="7">
        <v>1555.97</v>
      </c>
      <c r="C24" s="7">
        <v>48.96</v>
      </c>
      <c r="D24" s="8">
        <v>93.63</v>
      </c>
      <c r="E24" s="8">
        <v>10.48</v>
      </c>
      <c r="F24" s="9">
        <f t="shared" si="3"/>
        <v>1709.04</v>
      </c>
      <c r="G24" s="8">
        <v>153.72999999999999</v>
      </c>
      <c r="H24" s="8">
        <v>1158.73</v>
      </c>
      <c r="I24" s="8">
        <v>8.4700000000000006</v>
      </c>
      <c r="J24" s="8">
        <v>352.54</v>
      </c>
      <c r="K24" s="8">
        <v>0</v>
      </c>
      <c r="L24" s="8">
        <v>36.99</v>
      </c>
      <c r="M24" s="8">
        <v>0</v>
      </c>
      <c r="N24" s="11">
        <f t="shared" si="0"/>
        <v>1710.46</v>
      </c>
      <c r="O24" s="12">
        <f t="shared" si="1"/>
        <v>-1.4200000000000728</v>
      </c>
      <c r="P24" s="23">
        <v>161</v>
      </c>
      <c r="Q24" s="13">
        <v>45862</v>
      </c>
      <c r="R24" s="14"/>
      <c r="S24" s="15">
        <f t="shared" si="2"/>
        <v>7.2700000000000102</v>
      </c>
    </row>
    <row r="25" spans="1:19" x14ac:dyDescent="0.25">
      <c r="A25" s="6">
        <f>'[1]Cash Variance'!A26</f>
        <v>45862</v>
      </c>
      <c r="B25" s="7">
        <v>1566.55</v>
      </c>
      <c r="C25" s="7">
        <v>100.21</v>
      </c>
      <c r="D25" s="8">
        <v>94.27</v>
      </c>
      <c r="E25" s="8">
        <v>22.34</v>
      </c>
      <c r="F25" s="9">
        <f t="shared" si="3"/>
        <v>1783.37</v>
      </c>
      <c r="G25" s="8">
        <v>138.80000000000001</v>
      </c>
      <c r="H25" s="8">
        <v>1276.1300000000001</v>
      </c>
      <c r="I25" s="8">
        <v>0</v>
      </c>
      <c r="J25" s="8">
        <v>305.38</v>
      </c>
      <c r="K25" s="8">
        <v>42.36</v>
      </c>
      <c r="L25" s="8">
        <v>21.94</v>
      </c>
      <c r="M25" s="8">
        <v>0</v>
      </c>
      <c r="N25" s="11">
        <f t="shared" si="0"/>
        <v>1784.61</v>
      </c>
      <c r="O25" s="12">
        <f t="shared" si="1"/>
        <v>-1.2400000000000091</v>
      </c>
      <c r="P25" s="23">
        <v>139</v>
      </c>
      <c r="Q25" s="13">
        <v>45863</v>
      </c>
      <c r="R25" s="14"/>
      <c r="S25" s="15">
        <f t="shared" si="2"/>
        <v>0.19999999999998863</v>
      </c>
    </row>
    <row r="26" spans="1:19" x14ac:dyDescent="0.25">
      <c r="A26" s="6">
        <f>'[1]Cash Variance'!A27</f>
        <v>45863</v>
      </c>
      <c r="B26" s="7">
        <v>1964.64</v>
      </c>
      <c r="C26" s="7">
        <v>82.31</v>
      </c>
      <c r="D26" s="8">
        <v>117.79</v>
      </c>
      <c r="E26" s="8">
        <v>36.43</v>
      </c>
      <c r="F26" s="9">
        <f t="shared" si="3"/>
        <v>2201.17</v>
      </c>
      <c r="G26" s="8">
        <v>246.88</v>
      </c>
      <c r="H26" s="8">
        <f>1445.12-1.68</f>
        <v>1443.4399999999998</v>
      </c>
      <c r="I26" s="8">
        <v>78.14</v>
      </c>
      <c r="J26" s="8">
        <v>394.29</v>
      </c>
      <c r="K26" s="8">
        <v>10.74</v>
      </c>
      <c r="L26" s="8">
        <v>27.68</v>
      </c>
      <c r="M26" s="8">
        <v>0</v>
      </c>
      <c r="N26" s="11">
        <f t="shared" si="0"/>
        <v>2201.1699999999996</v>
      </c>
      <c r="O26" s="12">
        <f t="shared" si="1"/>
        <v>0</v>
      </c>
      <c r="P26" s="23">
        <v>246</v>
      </c>
      <c r="Q26" s="13">
        <v>45866</v>
      </c>
      <c r="R26" s="14"/>
      <c r="S26" s="15">
        <f t="shared" si="2"/>
        <v>-0.87999999999999545</v>
      </c>
    </row>
    <row r="27" spans="1:19" x14ac:dyDescent="0.25">
      <c r="A27" s="6">
        <f>'[1]Cash Variance'!A28</f>
        <v>45864</v>
      </c>
      <c r="B27" s="7">
        <v>2036.85</v>
      </c>
      <c r="C27" s="7">
        <v>59.97</v>
      </c>
      <c r="D27" s="8">
        <v>122.54</v>
      </c>
      <c r="E27" s="8">
        <v>34.200000000000003</v>
      </c>
      <c r="F27" s="9">
        <f t="shared" si="3"/>
        <v>2253.5599999999995</v>
      </c>
      <c r="G27" s="8">
        <v>226.74</v>
      </c>
      <c r="H27" s="8">
        <f>1491.81-2.16</f>
        <v>1489.6499999999999</v>
      </c>
      <c r="I27" s="8">
        <v>28.57</v>
      </c>
      <c r="J27" s="8">
        <v>480.55</v>
      </c>
      <c r="K27" s="8">
        <v>28.05</v>
      </c>
      <c r="L27" s="8">
        <v>0</v>
      </c>
      <c r="M27" s="8">
        <v>0</v>
      </c>
      <c r="N27" s="11">
        <f t="shared" si="0"/>
        <v>2253.56</v>
      </c>
      <c r="O27" s="12">
        <f t="shared" si="1"/>
        <v>0</v>
      </c>
      <c r="P27" s="23">
        <v>213</v>
      </c>
      <c r="Q27" s="13">
        <v>45866</v>
      </c>
      <c r="R27" s="14"/>
      <c r="S27" s="15">
        <f t="shared" si="2"/>
        <v>-13.740000000000009</v>
      </c>
    </row>
    <row r="28" spans="1:19" x14ac:dyDescent="0.25">
      <c r="A28" s="6">
        <f>'[1]Cash Variance'!A29</f>
        <v>45865</v>
      </c>
      <c r="B28" s="7">
        <v>2427.15</v>
      </c>
      <c r="C28" s="7">
        <v>55.86</v>
      </c>
      <c r="D28" s="8">
        <v>146.01</v>
      </c>
      <c r="E28" s="8">
        <v>40.33</v>
      </c>
      <c r="F28" s="9">
        <f t="shared" si="3"/>
        <v>2669.3500000000004</v>
      </c>
      <c r="G28" s="8">
        <v>212.36</v>
      </c>
      <c r="H28" s="8">
        <f>1787.81-2.63</f>
        <v>1785.1799999999998</v>
      </c>
      <c r="I28" s="8">
        <v>0</v>
      </c>
      <c r="J28" s="8">
        <v>663.87</v>
      </c>
      <c r="K28" s="8">
        <v>0</v>
      </c>
      <c r="L28" s="8">
        <v>0</v>
      </c>
      <c r="M28" s="8">
        <v>7.94</v>
      </c>
      <c r="N28" s="11">
        <f t="shared" si="0"/>
        <v>2669.35</v>
      </c>
      <c r="O28" s="12">
        <f t="shared" si="1"/>
        <v>0</v>
      </c>
      <c r="P28" s="25">
        <v>227</v>
      </c>
      <c r="Q28" s="26">
        <v>45866</v>
      </c>
      <c r="R28" s="14"/>
      <c r="S28" s="15">
        <f t="shared" si="2"/>
        <v>14.639999999999986</v>
      </c>
    </row>
    <row r="29" spans="1:19" x14ac:dyDescent="0.25">
      <c r="A29" s="6">
        <f>'[1]Cash Variance'!A30</f>
        <v>45866</v>
      </c>
      <c r="B29" s="7">
        <v>1534</v>
      </c>
      <c r="C29" s="7">
        <v>38.08</v>
      </c>
      <c r="D29" s="8">
        <v>92.29</v>
      </c>
      <c r="E29" s="8">
        <v>18.93</v>
      </c>
      <c r="F29" s="9">
        <f t="shared" si="3"/>
        <v>1683.3</v>
      </c>
      <c r="G29" s="8">
        <v>248.22</v>
      </c>
      <c r="H29" s="8">
        <v>1027.99</v>
      </c>
      <c r="I29" s="8">
        <v>1.06</v>
      </c>
      <c r="J29" s="8">
        <v>395.86</v>
      </c>
      <c r="K29" s="8">
        <v>10.15</v>
      </c>
      <c r="L29" s="8">
        <v>0</v>
      </c>
      <c r="M29" s="8">
        <v>0</v>
      </c>
      <c r="N29" s="11">
        <f t="shared" si="0"/>
        <v>1683.2800000000002</v>
      </c>
      <c r="O29" s="12">
        <f t="shared" si="1"/>
        <v>1.9999999999754436E-2</v>
      </c>
      <c r="P29" s="27">
        <v>248</v>
      </c>
      <c r="Q29" s="28">
        <v>45867</v>
      </c>
      <c r="R29" s="14"/>
      <c r="S29" s="15">
        <f t="shared" si="2"/>
        <v>-0.21999999999999886</v>
      </c>
    </row>
    <row r="30" spans="1:19" x14ac:dyDescent="0.25">
      <c r="A30" s="6">
        <f>'[1]Cash Variance'!A31</f>
        <v>45867</v>
      </c>
      <c r="B30" s="7">
        <v>1490.7</v>
      </c>
      <c r="C30" s="7">
        <v>93.33</v>
      </c>
      <c r="D30" s="8">
        <v>89.77</v>
      </c>
      <c r="E30" s="8">
        <v>21.68</v>
      </c>
      <c r="F30" s="9">
        <f t="shared" si="3"/>
        <v>1695.48</v>
      </c>
      <c r="G30" s="8">
        <v>279.11</v>
      </c>
      <c r="H30" s="8">
        <v>1024.8399999999999</v>
      </c>
      <c r="I30" s="8">
        <v>0</v>
      </c>
      <c r="J30" s="8">
        <v>334.08</v>
      </c>
      <c r="K30" s="8">
        <v>34.64</v>
      </c>
      <c r="L30" s="8">
        <v>22.78</v>
      </c>
      <c r="M30" s="8">
        <v>0</v>
      </c>
      <c r="N30" s="11">
        <f t="shared" si="0"/>
        <v>1695.4499999999998</v>
      </c>
      <c r="O30" s="12">
        <f t="shared" si="1"/>
        <v>3.0000000000200089E-2</v>
      </c>
      <c r="P30" s="27">
        <v>269</v>
      </c>
      <c r="Q30" s="28">
        <v>45868</v>
      </c>
      <c r="R30" s="14"/>
      <c r="S30" s="15">
        <f t="shared" si="2"/>
        <v>-10.110000000000014</v>
      </c>
    </row>
    <row r="31" spans="1:19" x14ac:dyDescent="0.25">
      <c r="A31" s="6">
        <f>'[1]Cash Variance'!A32</f>
        <v>45868</v>
      </c>
      <c r="B31" s="7">
        <v>1721.83</v>
      </c>
      <c r="C31" s="7">
        <v>49.06</v>
      </c>
      <c r="D31" s="8">
        <v>103.6</v>
      </c>
      <c r="E31" s="8">
        <v>21.43</v>
      </c>
      <c r="F31" s="9">
        <f t="shared" si="3"/>
        <v>1895.9199999999998</v>
      </c>
      <c r="G31" s="8">
        <v>160.72999999999999</v>
      </c>
      <c r="H31" s="8">
        <v>1401.69</v>
      </c>
      <c r="I31" s="8">
        <v>0</v>
      </c>
      <c r="J31" s="8">
        <v>320.27999999999997</v>
      </c>
      <c r="K31" s="8">
        <v>13.15</v>
      </c>
      <c r="L31" s="8">
        <v>0</v>
      </c>
      <c r="M31" s="8">
        <v>0</v>
      </c>
      <c r="N31" s="11">
        <f t="shared" si="0"/>
        <v>1895.8500000000001</v>
      </c>
      <c r="O31" s="12">
        <f t="shared" si="1"/>
        <v>6.9999999999708962E-2</v>
      </c>
      <c r="P31" s="27">
        <v>161</v>
      </c>
      <c r="Q31" s="28">
        <v>45869</v>
      </c>
      <c r="R31" s="14"/>
      <c r="S31" s="15">
        <f t="shared" si="2"/>
        <v>0.27000000000001023</v>
      </c>
    </row>
    <row r="32" spans="1:19" ht="15.75" thickBot="1" x14ac:dyDescent="0.3">
      <c r="A32" s="6">
        <f>'[1]Cash Variance'!A33</f>
        <v>45869</v>
      </c>
      <c r="B32" s="7">
        <v>2162.67</v>
      </c>
      <c r="C32" s="7">
        <v>26.32</v>
      </c>
      <c r="D32" s="8">
        <v>130.1</v>
      </c>
      <c r="E32" s="8">
        <v>14.14</v>
      </c>
      <c r="F32" s="9">
        <f t="shared" si="3"/>
        <v>2333.23</v>
      </c>
      <c r="G32" s="8">
        <v>208.83</v>
      </c>
      <c r="H32" s="8">
        <v>1527.92</v>
      </c>
      <c r="I32" s="8">
        <v>28.96</v>
      </c>
      <c r="J32" s="8">
        <v>557.13</v>
      </c>
      <c r="K32" s="8">
        <v>0</v>
      </c>
      <c r="L32" s="8">
        <v>10.36</v>
      </c>
      <c r="M32" s="8">
        <v>0</v>
      </c>
      <c r="N32" s="11">
        <f t="shared" si="0"/>
        <v>2333.2000000000003</v>
      </c>
      <c r="O32" s="12">
        <f t="shared" si="1"/>
        <v>2.9999999999745341E-2</v>
      </c>
      <c r="P32" s="27">
        <v>210</v>
      </c>
      <c r="Q32" s="28">
        <v>45870</v>
      </c>
      <c r="R32" s="14"/>
      <c r="S32" s="15">
        <f t="shared" si="2"/>
        <v>1.1699999999999875</v>
      </c>
    </row>
    <row r="33" spans="1:19" ht="15.75" thickBot="1" x14ac:dyDescent="0.3">
      <c r="A33" s="29" t="s">
        <v>8</v>
      </c>
      <c r="B33" s="30">
        <f t="shared" ref="B33:M33" si="4">SUM(B2:B32)</f>
        <v>53767.81</v>
      </c>
      <c r="C33" s="30">
        <f t="shared" si="4"/>
        <v>2096.6200000000003</v>
      </c>
      <c r="D33" s="30">
        <f t="shared" si="4"/>
        <v>3234.8799999999997</v>
      </c>
      <c r="E33" s="30">
        <f>SUM(E2:E32)</f>
        <v>806.91999999999985</v>
      </c>
      <c r="F33" s="31">
        <f>SUM(F2:F32)</f>
        <v>59906.23</v>
      </c>
      <c r="G33" s="30">
        <f t="shared" si="4"/>
        <v>7545.8899999999985</v>
      </c>
      <c r="H33" s="30">
        <f>SUM(H2:H32)</f>
        <v>39461.769999999997</v>
      </c>
      <c r="I33" s="30">
        <f t="shared" si="4"/>
        <v>394.18</v>
      </c>
      <c r="J33" s="30">
        <f t="shared" si="4"/>
        <v>11291.660000000002</v>
      </c>
      <c r="K33" s="30">
        <f t="shared" si="4"/>
        <v>423.35999999999996</v>
      </c>
      <c r="L33" s="30">
        <f t="shared" si="4"/>
        <v>785.17000000000007</v>
      </c>
      <c r="M33" s="30">
        <f t="shared" si="4"/>
        <v>7.94</v>
      </c>
      <c r="N33" s="31">
        <f>SUM(N2:N32)</f>
        <v>59909.969999999987</v>
      </c>
      <c r="O33" s="31">
        <f t="shared" ref="O33:R33" si="5">SUM(O2:O32)</f>
        <v>-3.7400000000018281</v>
      </c>
      <c r="P33" s="30">
        <f>SUM(P2:P32)</f>
        <v>7521</v>
      </c>
      <c r="Q33" s="30"/>
      <c r="R33" s="30">
        <f t="shared" si="5"/>
        <v>0</v>
      </c>
      <c r="S33" s="31">
        <f>SUM(S2:S32)</f>
        <v>-24.890000000000015</v>
      </c>
    </row>
    <row r="34" spans="1:19" x14ac:dyDescent="0.25">
      <c r="A34" s="32" t="s">
        <v>0</v>
      </c>
      <c r="B34" s="33">
        <f>+B33</f>
        <v>53767.81</v>
      </c>
      <c r="C34" s="33">
        <f>+C33</f>
        <v>2096.6200000000003</v>
      </c>
      <c r="D34" s="33">
        <f>+D33</f>
        <v>3234.8799999999997</v>
      </c>
      <c r="E34" s="33">
        <f>+E33</f>
        <v>806.91999999999985</v>
      </c>
      <c r="F34" s="32"/>
      <c r="G34" s="33">
        <f>+G33</f>
        <v>7545.8899999999985</v>
      </c>
      <c r="H34" s="32"/>
      <c r="I34" s="32"/>
      <c r="J34" s="33">
        <f>+J33</f>
        <v>11291.660000000002</v>
      </c>
      <c r="K34" s="33">
        <f>+K33</f>
        <v>423.35999999999996</v>
      </c>
      <c r="L34" s="33">
        <f>+L33</f>
        <v>785.17000000000007</v>
      </c>
      <c r="M34" s="33">
        <f>+M33</f>
        <v>7.94</v>
      </c>
      <c r="N34" s="32"/>
      <c r="O34" s="32"/>
      <c r="P34" s="32"/>
      <c r="Q34" s="34"/>
      <c r="R34" s="32"/>
    </row>
    <row r="35" spans="1:19" x14ac:dyDescent="0.25">
      <c r="A35" s="35" t="s">
        <v>9</v>
      </c>
      <c r="B35" s="36">
        <f>+B34</f>
        <v>53767.81</v>
      </c>
      <c r="C35" s="36">
        <f>+C34</f>
        <v>2096.6200000000003</v>
      </c>
      <c r="D35" s="36">
        <f>+D33</f>
        <v>3234.8799999999997</v>
      </c>
      <c r="E35" s="36">
        <f>+E34</f>
        <v>806.91999999999985</v>
      </c>
      <c r="F35" s="35"/>
      <c r="G35" s="36">
        <f>+G33</f>
        <v>7545.8899999999985</v>
      </c>
      <c r="H35" s="35"/>
      <c r="I35" s="35"/>
      <c r="J35" s="36">
        <f>+J33</f>
        <v>11291.660000000002</v>
      </c>
      <c r="K35" s="36">
        <f>+K33</f>
        <v>423.35999999999996</v>
      </c>
      <c r="L35" s="36">
        <f>+L33</f>
        <v>785.17000000000007</v>
      </c>
      <c r="M35" s="36">
        <f>+M33</f>
        <v>7.94</v>
      </c>
      <c r="N35" s="35"/>
      <c r="O35" s="35"/>
      <c r="P35" s="35"/>
      <c r="Q35" s="37"/>
      <c r="R35" s="35"/>
    </row>
    <row r="36" spans="1:19" x14ac:dyDescent="0.25">
      <c r="A36" s="35"/>
      <c r="B36" s="35"/>
      <c r="C36" s="35"/>
      <c r="D36" s="35"/>
      <c r="E36" s="35"/>
      <c r="F36" s="35"/>
      <c r="G36" s="35"/>
      <c r="H36" s="46" t="s">
        <v>10</v>
      </c>
      <c r="I36" s="46"/>
      <c r="J36" s="39">
        <v>13634.76</v>
      </c>
      <c r="K36" s="38">
        <f>424.17+32.06-3.44</f>
        <v>452.79</v>
      </c>
      <c r="L36" s="38">
        <v>1008.68</v>
      </c>
      <c r="M36" s="35"/>
      <c r="N36" s="35"/>
      <c r="O36" s="35"/>
      <c r="P36" s="35"/>
      <c r="Q36" s="37"/>
      <c r="R36" s="35"/>
    </row>
    <row r="37" spans="1:19" x14ac:dyDescent="0.25">
      <c r="A37" s="35"/>
      <c r="B37" s="35"/>
      <c r="C37" s="35"/>
      <c r="D37" s="35"/>
      <c r="E37" s="35"/>
      <c r="F37" s="35"/>
      <c r="G37" s="35"/>
      <c r="H37" s="46" t="s">
        <v>11</v>
      </c>
      <c r="I37" s="46"/>
      <c r="J37" s="40">
        <f>+J36-J33</f>
        <v>2343.0999999999985</v>
      </c>
      <c r="K37" s="41">
        <f>+K36-K33</f>
        <v>29.430000000000064</v>
      </c>
      <c r="L37" s="41">
        <f>+L36-L33</f>
        <v>223.50999999999988</v>
      </c>
      <c r="M37" s="35"/>
      <c r="N37" s="35"/>
      <c r="O37" s="35"/>
      <c r="P37" s="35"/>
      <c r="Q37" s="37"/>
      <c r="R37" s="35"/>
    </row>
    <row r="38" spans="1:19" x14ac:dyDescent="0.25">
      <c r="A38" s="35"/>
      <c r="B38" s="35"/>
      <c r="C38" s="35"/>
      <c r="D38" s="35"/>
      <c r="E38" s="35"/>
      <c r="F38" s="35"/>
      <c r="G38" s="35"/>
      <c r="H38" s="46" t="s">
        <v>12</v>
      </c>
      <c r="I38" s="46"/>
      <c r="J38" s="39">
        <v>-2216.62</v>
      </c>
      <c r="K38" s="38">
        <v>-45.28</v>
      </c>
      <c r="L38" s="38">
        <f>-161.04+61.78</f>
        <v>-99.259999999999991</v>
      </c>
      <c r="M38" s="42"/>
      <c r="N38" s="35"/>
      <c r="O38" s="35"/>
      <c r="P38" s="35"/>
      <c r="Q38" s="35"/>
      <c r="R38" s="35"/>
    </row>
    <row r="39" spans="1:19" x14ac:dyDescent="0.25">
      <c r="A39" s="35"/>
      <c r="B39" s="35"/>
      <c r="C39" s="35"/>
      <c r="D39" s="35"/>
      <c r="E39" s="35"/>
      <c r="F39" s="35"/>
      <c r="G39" s="35"/>
      <c r="H39" s="46" t="s">
        <v>13</v>
      </c>
      <c r="I39" s="46"/>
      <c r="J39" s="39">
        <v>-3633.96</v>
      </c>
      <c r="K39" s="38">
        <f>-40.21-29.43</f>
        <v>-69.64</v>
      </c>
      <c r="L39" s="38">
        <v>-223.51</v>
      </c>
      <c r="M39" s="42"/>
      <c r="N39" s="35"/>
      <c r="O39" s="35"/>
      <c r="P39" s="35"/>
      <c r="Q39" s="35"/>
      <c r="R39" s="35"/>
    </row>
    <row r="40" spans="1:19" x14ac:dyDescent="0.25">
      <c r="A40" s="35"/>
      <c r="B40" s="35"/>
      <c r="C40" s="35"/>
      <c r="D40" s="35"/>
      <c r="E40" s="35"/>
      <c r="F40" s="35"/>
      <c r="G40" s="35"/>
      <c r="H40" s="46" t="s">
        <v>14</v>
      </c>
      <c r="I40" s="46"/>
      <c r="J40" s="39">
        <v>-217.95</v>
      </c>
      <c r="K40" s="38">
        <v>0</v>
      </c>
      <c r="L40" s="38">
        <v>10.36</v>
      </c>
      <c r="M40" s="42"/>
      <c r="N40" s="35"/>
      <c r="O40" s="35"/>
      <c r="P40" s="35"/>
      <c r="Q40" s="35"/>
      <c r="R40" s="35"/>
    </row>
    <row r="41" spans="1:19" ht="15.75" thickBot="1" x14ac:dyDescent="0.3">
      <c r="A41" s="35"/>
      <c r="B41" s="35"/>
      <c r="C41" s="35"/>
      <c r="D41" s="35"/>
      <c r="E41" s="35"/>
      <c r="F41" s="35"/>
      <c r="G41" s="35"/>
      <c r="H41" s="47" t="s">
        <v>15</v>
      </c>
      <c r="I41" s="47"/>
      <c r="J41" s="43">
        <f>+J36+J38+J39+J40</f>
        <v>7566.23</v>
      </c>
      <c r="K41" s="44">
        <f>+K36+K38+K39+K40</f>
        <v>337.87</v>
      </c>
      <c r="L41" s="44">
        <f>+L36+L38+L39+L40</f>
        <v>696.27</v>
      </c>
      <c r="M41" s="42"/>
      <c r="N41" s="35"/>
      <c r="O41" s="35"/>
      <c r="P41" s="35"/>
      <c r="Q41" s="35"/>
      <c r="R41" s="35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2025-08-21T05:47:18Z</dcterms:created>
  <dcterms:modified xsi:type="dcterms:W3CDTF">2025-10-08T07:49:35Z</dcterms:modified>
</cp:coreProperties>
</file>