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2F391966-7DDB-40DF-BD17-64F50272476D}" xr6:coauthVersionLast="47" xr6:coauthVersionMax="47" xr10:uidLastSave="{00000000-0000-0000-0000-000000000000}"/>
  <bookViews>
    <workbookView xWindow="-120" yWindow="-120" windowWidth="20730" windowHeight="11040" xr2:uid="{D2ACE4F0-477A-4E73-8231-B5E254C314B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1" l="1"/>
  <c r="P33" i="1"/>
  <c r="J35" i="1"/>
  <c r="H2" i="1"/>
  <c r="H33" i="1" s="1"/>
  <c r="F2" i="1"/>
  <c r="O2" i="1" s="1"/>
  <c r="A2" i="1"/>
  <c r="J41" i="1"/>
  <c r="K39" i="1"/>
  <c r="L38" i="1"/>
  <c r="J37" i="1"/>
  <c r="K36" i="1"/>
  <c r="K37" i="1" s="1"/>
  <c r="M35" i="1"/>
  <c r="M34" i="1"/>
  <c r="C34" i="1"/>
  <c r="B34" i="1"/>
  <c r="R33" i="1"/>
  <c r="M33" i="1"/>
  <c r="L33" i="1"/>
  <c r="L35" i="1" s="1"/>
  <c r="K33" i="1"/>
  <c r="K35" i="1" s="1"/>
  <c r="J33" i="1"/>
  <c r="J34" i="1" s="1"/>
  <c r="I33" i="1"/>
  <c r="G33" i="1"/>
  <c r="G34" i="1" s="1"/>
  <c r="E33" i="1"/>
  <c r="E34" i="1" s="1"/>
  <c r="D33" i="1"/>
  <c r="D34" i="1" s="1"/>
  <c r="D35" i="1" s="1"/>
  <c r="C33" i="1"/>
  <c r="C35" i="1" s="1"/>
  <c r="B33" i="1"/>
  <c r="B35" i="1" s="1"/>
  <c r="S32" i="1"/>
  <c r="H32" i="1"/>
  <c r="N32" i="1" s="1"/>
  <c r="O32" i="1" s="1"/>
  <c r="F32" i="1"/>
  <c r="A32" i="1"/>
  <c r="S31" i="1"/>
  <c r="H31" i="1"/>
  <c r="N31" i="1" s="1"/>
  <c r="F31" i="1"/>
  <c r="A31" i="1"/>
  <c r="S30" i="1"/>
  <c r="N30" i="1"/>
  <c r="F30" i="1"/>
  <c r="O30" i="1" s="1"/>
  <c r="A30" i="1"/>
  <c r="S29" i="1"/>
  <c r="N29" i="1"/>
  <c r="F29" i="1"/>
  <c r="A29" i="1"/>
  <c r="S28" i="1"/>
  <c r="N28" i="1"/>
  <c r="F28" i="1"/>
  <c r="O28" i="1" s="1"/>
  <c r="A28" i="1"/>
  <c r="S27" i="1"/>
  <c r="N27" i="1"/>
  <c r="F27" i="1"/>
  <c r="O27" i="1" s="1"/>
  <c r="A27" i="1"/>
  <c r="S26" i="1"/>
  <c r="N26" i="1"/>
  <c r="F26" i="1"/>
  <c r="O26" i="1" s="1"/>
  <c r="A26" i="1"/>
  <c r="S25" i="1"/>
  <c r="N25" i="1"/>
  <c r="F25" i="1"/>
  <c r="O25" i="1" s="1"/>
  <c r="A25" i="1"/>
  <c r="S24" i="1"/>
  <c r="N24" i="1"/>
  <c r="F24" i="1"/>
  <c r="O24" i="1" s="1"/>
  <c r="A24" i="1"/>
  <c r="N23" i="1"/>
  <c r="F23" i="1"/>
  <c r="O23" i="1" s="1"/>
  <c r="A23" i="1"/>
  <c r="S22" i="1"/>
  <c r="N22" i="1"/>
  <c r="F22" i="1"/>
  <c r="O22" i="1" s="1"/>
  <c r="A22" i="1"/>
  <c r="S21" i="1"/>
  <c r="N21" i="1"/>
  <c r="F21" i="1"/>
  <c r="A21" i="1"/>
  <c r="S20" i="1"/>
  <c r="N20" i="1"/>
  <c r="F20" i="1"/>
  <c r="O20" i="1" s="1"/>
  <c r="A20" i="1"/>
  <c r="S19" i="1"/>
  <c r="H19" i="1"/>
  <c r="N19" i="1" s="1"/>
  <c r="F19" i="1"/>
  <c r="A19" i="1"/>
  <c r="S18" i="1"/>
  <c r="N18" i="1"/>
  <c r="H18" i="1"/>
  <c r="F18" i="1"/>
  <c r="A18" i="1"/>
  <c r="S17" i="1"/>
  <c r="N17" i="1"/>
  <c r="F17" i="1"/>
  <c r="A17" i="1"/>
  <c r="S16" i="1"/>
  <c r="H16" i="1"/>
  <c r="N16" i="1" s="1"/>
  <c r="O16" i="1" s="1"/>
  <c r="F16" i="1"/>
  <c r="A16" i="1"/>
  <c r="S15" i="1"/>
  <c r="N15" i="1"/>
  <c r="F15" i="1"/>
  <c r="O15" i="1" s="1"/>
  <c r="A15" i="1"/>
  <c r="S14" i="1"/>
  <c r="H14" i="1"/>
  <c r="N14" i="1" s="1"/>
  <c r="F14" i="1"/>
  <c r="O14" i="1" s="1"/>
  <c r="A14" i="1"/>
  <c r="S13" i="1"/>
  <c r="H13" i="1"/>
  <c r="N13" i="1" s="1"/>
  <c r="F13" i="1"/>
  <c r="A13" i="1"/>
  <c r="S12" i="1"/>
  <c r="H12" i="1"/>
  <c r="N12" i="1" s="1"/>
  <c r="F12" i="1"/>
  <c r="A12" i="1"/>
  <c r="S11" i="1"/>
  <c r="H11" i="1"/>
  <c r="N11" i="1" s="1"/>
  <c r="F11" i="1"/>
  <c r="A11" i="1"/>
  <c r="S10" i="1"/>
  <c r="H10" i="1"/>
  <c r="N10" i="1" s="1"/>
  <c r="F10" i="1"/>
  <c r="A10" i="1"/>
  <c r="S9" i="1"/>
  <c r="N9" i="1"/>
  <c r="H9" i="1"/>
  <c r="F9" i="1"/>
  <c r="A9" i="1"/>
  <c r="S8" i="1"/>
  <c r="P8" i="1"/>
  <c r="H8" i="1"/>
  <c r="N8" i="1" s="1"/>
  <c r="F8" i="1"/>
  <c r="O8" i="1" s="1"/>
  <c r="A8" i="1"/>
  <c r="S7" i="1"/>
  <c r="H7" i="1"/>
  <c r="N7" i="1" s="1"/>
  <c r="O7" i="1" s="1"/>
  <c r="F7" i="1"/>
  <c r="A7" i="1"/>
  <c r="S6" i="1"/>
  <c r="H6" i="1"/>
  <c r="N6" i="1" s="1"/>
  <c r="O6" i="1" s="1"/>
  <c r="F6" i="1"/>
  <c r="A6" i="1"/>
  <c r="S5" i="1"/>
  <c r="H5" i="1"/>
  <c r="N5" i="1" s="1"/>
  <c r="F5" i="1"/>
  <c r="A5" i="1"/>
  <c r="S4" i="1"/>
  <c r="O4" i="1"/>
  <c r="N4" i="1"/>
  <c r="H4" i="1"/>
  <c r="F4" i="1"/>
  <c r="A4" i="1"/>
  <c r="S3" i="1"/>
  <c r="N3" i="1"/>
  <c r="F3" i="1"/>
  <c r="O3" i="1" s="1"/>
  <c r="A3" i="1"/>
  <c r="S2" i="1"/>
  <c r="S33" i="1" s="1"/>
  <c r="N2" i="1"/>
  <c r="N33" i="1" s="1"/>
  <c r="O5" i="1" l="1"/>
  <c r="O10" i="1"/>
  <c r="O19" i="1"/>
  <c r="O21" i="1"/>
  <c r="O12" i="1"/>
  <c r="O9" i="1"/>
  <c r="O18" i="1"/>
  <c r="O29" i="1"/>
  <c r="O31" i="1"/>
  <c r="E35" i="1"/>
  <c r="K41" i="1"/>
  <c r="L41" i="1"/>
  <c r="L43" i="1" s="1"/>
  <c r="O11" i="1"/>
  <c r="G35" i="1"/>
  <c r="O17" i="1"/>
  <c r="O13" i="1"/>
  <c r="L37" i="1"/>
  <c r="F33" i="1"/>
  <c r="K34" i="1"/>
  <c r="L34" i="1"/>
  <c r="O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tc={C6C08B84-1374-4DD5-B3A7-B0A6A257567F}</author>
  </authors>
  <commentList>
    <comment ref="P8" authorId="0" shapeId="0" xr:uid="{035F82F9-0C54-4D8E-B08A-C18F2A5E6F9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amount of $417, initially deposited into account ending in 3495, has been adjusted against the cash sale dated 06-30-2025.</t>
        </r>
      </text>
    </comment>
  </commentList>
</comments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<sst xmlns="http://schemas.openxmlformats.org/spreadsheetml/2006/main" count="28" uniqueCount="28">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</sst>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165" fontId="7" fillId="0" borderId="7" xfId="0" applyNumberFormat="1" applyFont="1" applyBorder="1" applyAlignment="1">
      <alignment horizontal="right"/>
    </xf>
    <xf numFmtId="164" fontId="4" fillId="0" borderId="10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right"/>
    </xf>
    <xf numFmtId="165" fontId="5" fillId="0" borderId="11" xfId="0" applyNumberFormat="1" applyFont="1" applyBorder="1" applyAlignment="1">
      <alignment horizontal="right"/>
    </xf>
    <xf numFmtId="166" fontId="5" fillId="0" borderId="6" xfId="0" applyNumberFormat="1" applyFont="1" applyBorder="1"/>
    <xf numFmtId="166" fontId="5" fillId="0" borderId="12" xfId="0" applyNumberFormat="1" applyFont="1" applyBorder="1"/>
    <xf numFmtId="165" fontId="4" fillId="0" borderId="6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164" fontId="5" fillId="3" borderId="9" xfId="0" applyNumberFormat="1" applyFont="1" applyFill="1" applyBorder="1" applyAlignment="1">
      <alignment horizontal="right"/>
    </xf>
    <xf numFmtId="164" fontId="4" fillId="0" borderId="13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3" fontId="5" fillId="0" borderId="7" xfId="0" applyNumberFormat="1" applyFont="1" applyBorder="1" applyAlignment="1">
      <alignment horizontal="right"/>
    </xf>
    <xf numFmtId="0" fontId="6" fillId="2" borderId="16" xfId="0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right"/>
    </xf>
    <xf numFmtId="165" fontId="6" fillId="3" borderId="17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165" fontId="5" fillId="0" borderId="0" xfId="0" applyNumberFormat="1" applyFont="1" applyAlignment="1">
      <alignment horizontal="right"/>
    </xf>
    <xf numFmtId="2" fontId="0" fillId="0" borderId="18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8" fillId="0" borderId="0" xfId="0" applyNumberFormat="1" applyFont="1" applyAlignment="1">
      <alignment horizontal="right"/>
    </xf>
    <xf numFmtId="165" fontId="0" fillId="5" borderId="19" xfId="0" applyNumberFormat="1" applyFill="1" applyBorder="1" applyAlignment="1">
      <alignment horizontal="center"/>
    </xf>
    <xf numFmtId="165" fontId="0" fillId="5" borderId="20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6E816-2262-4AE9-8443-BFD4453EEC1C}">
  <dimension ref="A1:S43"/>
  <sheetViews>
    <sheetView tabSelected="1" workbookViewId="0"/>
  </sheetViews>
  <sheetFormatPr defaultRowHeight="15" x14ac:dyDescent="0.25"/>
  <cols>
    <col min="1" max="1" width="10.42578125" bestFit="1" customWidth="1"/>
    <col min="3" max="3" width="10.5703125" bestFit="1" customWidth="1"/>
    <col min="6" max="6" width="10.5703125" bestFit="1" customWidth="1"/>
    <col min="7" max="8" width="10.85546875" bestFit="1" customWidth="1"/>
    <col min="10" max="10" width="10.85546875" bestFit="1" customWidth="1"/>
    <col min="11" max="12" width="9.85546875" bestFit="1" customWidth="1"/>
    <col min="14" max="14" width="10.85546875" bestFit="1" customWidth="1"/>
    <col min="15" max="15" width="11.42578125" customWidth="1"/>
    <col min="16" max="16" width="14.5703125" customWidth="1"/>
    <col min="17" max="17" width="10.42578125" bestFit="1" customWidth="1"/>
    <col min="19" max="19" width="10.5703125" bestFit="1" customWidth="1"/>
  </cols>
  <sheetData>
    <row r="1" spans="1:19" ht="48" thickBot="1" x14ac:dyDescent="0.3">
      <c r="A1" s="47" t="s">
        <v>27</v>
      </c>
      <c r="B1" s="1" t="s">
        <v>16</v>
      </c>
      <c r="C1" s="1" t="s">
        <v>17</v>
      </c>
      <c r="D1" s="2" t="s">
        <v>18</v>
      </c>
      <c r="E1" s="2" t="s">
        <v>19</v>
      </c>
      <c r="F1" s="3" t="s">
        <v>20</v>
      </c>
      <c r="G1" s="2" t="s">
        <v>21</v>
      </c>
      <c r="H1" s="2" t="s">
        <v>22</v>
      </c>
      <c r="I1" s="2" t="s">
        <v>1</v>
      </c>
      <c r="J1" s="4" t="s">
        <v>2</v>
      </c>
      <c r="K1" s="4" t="s">
        <v>3</v>
      </c>
      <c r="L1" s="4" t="s">
        <v>23</v>
      </c>
      <c r="M1" s="2" t="s">
        <v>24</v>
      </c>
      <c r="N1" s="5" t="s">
        <v>4</v>
      </c>
      <c r="O1" s="5" t="s">
        <v>5</v>
      </c>
      <c r="P1" s="2" t="s">
        <v>26</v>
      </c>
      <c r="Q1" s="2" t="s">
        <v>6</v>
      </c>
      <c r="R1" s="2" t="s">
        <v>7</v>
      </c>
      <c r="S1" s="5" t="s">
        <v>25</v>
      </c>
    </row>
    <row r="2" spans="1:19" x14ac:dyDescent="0.25">
      <c r="A2" s="6">
        <f>'[1]Cash Variance'!A3</f>
        <v>45839</v>
      </c>
      <c r="B2" s="7">
        <v>0</v>
      </c>
      <c r="C2" s="7">
        <v>2380.65</v>
      </c>
      <c r="D2" s="8">
        <v>0</v>
      </c>
      <c r="E2" s="8">
        <v>0</v>
      </c>
      <c r="F2" s="9">
        <f>SUM(B2:E2)</f>
        <v>2380.65</v>
      </c>
      <c r="G2" s="10">
        <v>393.82</v>
      </c>
      <c r="H2" s="8">
        <f>1066.73-4.49</f>
        <v>1062.24</v>
      </c>
      <c r="I2" s="8">
        <v>0</v>
      </c>
      <c r="J2" s="8">
        <v>823.52</v>
      </c>
      <c r="K2" s="8">
        <v>20.3</v>
      </c>
      <c r="L2" s="8">
        <v>80.77</v>
      </c>
      <c r="M2" s="8">
        <v>0</v>
      </c>
      <c r="N2" s="11">
        <f t="shared" ref="N2:N32" si="0">SUM(G2:M2)</f>
        <v>2380.65</v>
      </c>
      <c r="O2" s="12">
        <f t="shared" ref="O2:O32" si="1">+F2-N2</f>
        <v>0</v>
      </c>
      <c r="P2" s="8"/>
      <c r="Q2" s="13"/>
      <c r="R2" s="14"/>
      <c r="S2" s="15">
        <f>P2-G2-R2</f>
        <v>-393.82</v>
      </c>
    </row>
    <row r="3" spans="1:19" x14ac:dyDescent="0.25">
      <c r="A3" s="6">
        <f>'[1]Cash Variance'!A4</f>
        <v>45840</v>
      </c>
      <c r="B3" s="7">
        <v>0</v>
      </c>
      <c r="C3" s="7">
        <v>2158.0700000000002</v>
      </c>
      <c r="D3" s="8">
        <v>0</v>
      </c>
      <c r="E3" s="8">
        <v>0</v>
      </c>
      <c r="F3" s="9">
        <f t="shared" ref="F3:F32" si="2">SUM(B3:E3)</f>
        <v>2158.0700000000002</v>
      </c>
      <c r="G3" s="8">
        <v>488.29</v>
      </c>
      <c r="H3" s="8">
        <v>1250.48</v>
      </c>
      <c r="I3" s="8">
        <v>30.16</v>
      </c>
      <c r="J3" s="8">
        <v>286.44</v>
      </c>
      <c r="K3" s="8">
        <v>62.92</v>
      </c>
      <c r="L3" s="8">
        <v>41.77</v>
      </c>
      <c r="M3" s="8">
        <v>0</v>
      </c>
      <c r="N3" s="11">
        <f t="shared" si="0"/>
        <v>2160.06</v>
      </c>
      <c r="O3" s="12">
        <f t="shared" si="1"/>
        <v>-1.9899999999997817</v>
      </c>
      <c r="P3" s="8"/>
      <c r="Q3" s="13"/>
      <c r="R3" s="14"/>
      <c r="S3" s="15">
        <f t="shared" ref="S3:S32" si="3">P3-G3-R3</f>
        <v>-488.29</v>
      </c>
    </row>
    <row r="4" spans="1:19" x14ac:dyDescent="0.25">
      <c r="A4" s="6">
        <f>'[1]Cash Variance'!A5</f>
        <v>45841</v>
      </c>
      <c r="B4" s="7">
        <v>0</v>
      </c>
      <c r="C4" s="7">
        <v>3194.82</v>
      </c>
      <c r="D4" s="8">
        <v>0</v>
      </c>
      <c r="E4" s="8">
        <v>0</v>
      </c>
      <c r="F4" s="9">
        <f t="shared" si="2"/>
        <v>3194.82</v>
      </c>
      <c r="G4" s="8">
        <v>508.64</v>
      </c>
      <c r="H4" s="8">
        <f>1827.46-2.46</f>
        <v>1825</v>
      </c>
      <c r="I4" s="8">
        <v>0</v>
      </c>
      <c r="J4" s="8">
        <v>594.37</v>
      </c>
      <c r="K4" s="8">
        <v>63.88</v>
      </c>
      <c r="L4" s="8">
        <v>202.93</v>
      </c>
      <c r="M4" s="8">
        <v>0</v>
      </c>
      <c r="N4" s="11">
        <f t="shared" si="0"/>
        <v>3194.8199999999997</v>
      </c>
      <c r="O4" s="12">
        <f t="shared" si="1"/>
        <v>0</v>
      </c>
      <c r="P4" s="8"/>
      <c r="Q4" s="13"/>
      <c r="R4" s="14"/>
      <c r="S4" s="15">
        <f t="shared" si="3"/>
        <v>-508.64</v>
      </c>
    </row>
    <row r="5" spans="1:19" x14ac:dyDescent="0.25">
      <c r="A5" s="6">
        <f>'[1]Cash Variance'!A6</f>
        <v>45842</v>
      </c>
      <c r="B5" s="7">
        <v>0</v>
      </c>
      <c r="C5" s="7">
        <v>2673.97</v>
      </c>
      <c r="D5" s="8">
        <v>0</v>
      </c>
      <c r="E5" s="8">
        <v>0</v>
      </c>
      <c r="F5" s="9">
        <f t="shared" si="2"/>
        <v>2673.97</v>
      </c>
      <c r="G5" s="8">
        <v>464.26</v>
      </c>
      <c r="H5" s="8">
        <f>1250.07-7.5</f>
        <v>1242.57</v>
      </c>
      <c r="I5" s="8">
        <v>42.46</v>
      </c>
      <c r="J5" s="8">
        <v>801.82</v>
      </c>
      <c r="K5" s="8">
        <v>0</v>
      </c>
      <c r="L5" s="8">
        <v>122.86</v>
      </c>
      <c r="M5" s="8">
        <v>0</v>
      </c>
      <c r="N5" s="11">
        <f t="shared" si="0"/>
        <v>2673.9700000000003</v>
      </c>
      <c r="O5" s="12">
        <f t="shared" si="1"/>
        <v>0</v>
      </c>
      <c r="P5" s="8"/>
      <c r="Q5" s="13"/>
      <c r="R5" s="14"/>
      <c r="S5" s="15">
        <f t="shared" si="3"/>
        <v>-464.26</v>
      </c>
    </row>
    <row r="6" spans="1:19" x14ac:dyDescent="0.25">
      <c r="A6" s="6">
        <f>'[1]Cash Variance'!A7</f>
        <v>45843</v>
      </c>
      <c r="B6" s="7">
        <v>0</v>
      </c>
      <c r="C6" s="7">
        <v>2799.32</v>
      </c>
      <c r="D6" s="8">
        <v>0</v>
      </c>
      <c r="E6" s="8">
        <v>0</v>
      </c>
      <c r="F6" s="9">
        <f t="shared" si="2"/>
        <v>2799.32</v>
      </c>
      <c r="G6" s="8">
        <v>554.72</v>
      </c>
      <c r="H6" s="8">
        <f>1664.99-4.99</f>
        <v>1660</v>
      </c>
      <c r="I6" s="8">
        <v>23.96</v>
      </c>
      <c r="J6" s="8">
        <v>421.94</v>
      </c>
      <c r="K6" s="8">
        <v>38.21</v>
      </c>
      <c r="L6" s="8">
        <v>100.49</v>
      </c>
      <c r="M6" s="8">
        <v>0</v>
      </c>
      <c r="N6" s="11">
        <f t="shared" si="0"/>
        <v>2799.32</v>
      </c>
      <c r="O6" s="12">
        <f t="shared" si="1"/>
        <v>0</v>
      </c>
      <c r="P6" s="8"/>
      <c r="Q6" s="13"/>
      <c r="R6" s="14"/>
      <c r="S6" s="15">
        <f t="shared" si="3"/>
        <v>-554.72</v>
      </c>
    </row>
    <row r="7" spans="1:19" x14ac:dyDescent="0.25">
      <c r="A7" s="6">
        <f>'[1]Cash Variance'!A8</f>
        <v>45844</v>
      </c>
      <c r="B7" s="7">
        <v>0</v>
      </c>
      <c r="C7" s="7">
        <v>2376.79</v>
      </c>
      <c r="D7" s="8">
        <v>0</v>
      </c>
      <c r="E7" s="8">
        <v>0</v>
      </c>
      <c r="F7" s="9">
        <f t="shared" si="2"/>
        <v>2376.79</v>
      </c>
      <c r="G7" s="8">
        <v>328.4</v>
      </c>
      <c r="H7" s="8">
        <f>1654.49-9.97</f>
        <v>1644.52</v>
      </c>
      <c r="I7" s="8">
        <v>0</v>
      </c>
      <c r="J7" s="8">
        <v>182.48</v>
      </c>
      <c r="K7" s="8">
        <v>106.27</v>
      </c>
      <c r="L7" s="8">
        <v>105.12</v>
      </c>
      <c r="M7" s="8">
        <v>10</v>
      </c>
      <c r="N7" s="11">
        <f t="shared" si="0"/>
        <v>2376.79</v>
      </c>
      <c r="O7" s="12">
        <f t="shared" si="1"/>
        <v>0</v>
      </c>
      <c r="P7" s="8"/>
      <c r="Q7" s="13"/>
      <c r="R7" s="14"/>
      <c r="S7" s="15">
        <f t="shared" si="3"/>
        <v>-328.4</v>
      </c>
    </row>
    <row r="8" spans="1:19" x14ac:dyDescent="0.25">
      <c r="A8" s="6">
        <f>'[1]Cash Variance'!A9</f>
        <v>45845</v>
      </c>
      <c r="B8" s="7">
        <v>0</v>
      </c>
      <c r="C8" s="7">
        <v>1783.25</v>
      </c>
      <c r="D8" s="8">
        <v>0</v>
      </c>
      <c r="E8" s="8">
        <v>0</v>
      </c>
      <c r="F8" s="9">
        <f t="shared" si="2"/>
        <v>1783.25</v>
      </c>
      <c r="G8" s="8">
        <v>342.8</v>
      </c>
      <c r="H8" s="8">
        <f>922.87+6.49</f>
        <v>929.36</v>
      </c>
      <c r="I8" s="8">
        <v>38.950000000000003</v>
      </c>
      <c r="J8" s="8">
        <v>346.6</v>
      </c>
      <c r="K8" s="8">
        <v>38.22</v>
      </c>
      <c r="L8" s="8">
        <v>87.29</v>
      </c>
      <c r="M8" s="8">
        <v>0</v>
      </c>
      <c r="N8" s="11">
        <f t="shared" si="0"/>
        <v>1783.22</v>
      </c>
      <c r="O8" s="12">
        <f t="shared" si="1"/>
        <v>2.9999999999972715E-2</v>
      </c>
      <c r="P8" s="8">
        <f>3495-417</f>
        <v>3078</v>
      </c>
      <c r="Q8" s="13">
        <v>45846</v>
      </c>
      <c r="R8" s="14"/>
      <c r="S8" s="15">
        <f t="shared" si="3"/>
        <v>2735.2</v>
      </c>
    </row>
    <row r="9" spans="1:19" x14ac:dyDescent="0.25">
      <c r="A9" s="6">
        <f>'[1]Cash Variance'!A10</f>
        <v>45846</v>
      </c>
      <c r="B9" s="7">
        <v>0</v>
      </c>
      <c r="C9" s="7">
        <v>1784.1</v>
      </c>
      <c r="D9" s="16">
        <v>0</v>
      </c>
      <c r="E9" s="8">
        <v>0</v>
      </c>
      <c r="F9" s="9">
        <f t="shared" si="2"/>
        <v>1784.1</v>
      </c>
      <c r="G9" s="8">
        <v>388.9</v>
      </c>
      <c r="H9" s="8">
        <f>880.61-2.5</f>
        <v>878.11</v>
      </c>
      <c r="I9" s="8">
        <v>17.48</v>
      </c>
      <c r="J9" s="8">
        <v>328.06</v>
      </c>
      <c r="K9" s="8">
        <v>18.5</v>
      </c>
      <c r="L9" s="8">
        <v>153.05000000000001</v>
      </c>
      <c r="M9" s="8">
        <v>0</v>
      </c>
      <c r="N9" s="11">
        <f t="shared" si="0"/>
        <v>1784.1</v>
      </c>
      <c r="O9" s="12">
        <f t="shared" si="1"/>
        <v>0</v>
      </c>
      <c r="P9" s="8"/>
      <c r="Q9" s="13"/>
      <c r="R9" s="17"/>
      <c r="S9" s="15">
        <f t="shared" si="3"/>
        <v>-388.9</v>
      </c>
    </row>
    <row r="10" spans="1:19" x14ac:dyDescent="0.25">
      <c r="A10" s="6">
        <f>'[1]Cash Variance'!A11</f>
        <v>45847</v>
      </c>
      <c r="B10" s="7">
        <v>0</v>
      </c>
      <c r="C10" s="7">
        <v>2505.06</v>
      </c>
      <c r="D10" s="16">
        <v>0</v>
      </c>
      <c r="E10" s="8">
        <v>0</v>
      </c>
      <c r="F10" s="9">
        <f t="shared" si="2"/>
        <v>2505.06</v>
      </c>
      <c r="G10" s="8">
        <v>510.89</v>
      </c>
      <c r="H10" s="8">
        <f>1350.91-9.99</f>
        <v>1340.92</v>
      </c>
      <c r="I10" s="8">
        <v>0</v>
      </c>
      <c r="J10" s="8">
        <v>431.36</v>
      </c>
      <c r="K10" s="8">
        <v>150.74</v>
      </c>
      <c r="L10" s="8">
        <v>71.150000000000006</v>
      </c>
      <c r="M10" s="8">
        <v>0</v>
      </c>
      <c r="N10" s="11">
        <f t="shared" si="0"/>
        <v>2505.06</v>
      </c>
      <c r="O10" s="12">
        <f t="shared" si="1"/>
        <v>0</v>
      </c>
      <c r="P10" s="18"/>
      <c r="Q10" s="13"/>
      <c r="R10" s="14"/>
      <c r="S10" s="15">
        <f t="shared" si="3"/>
        <v>-510.89</v>
      </c>
    </row>
    <row r="11" spans="1:19" x14ac:dyDescent="0.25">
      <c r="A11" s="6">
        <f>'[1]Cash Variance'!A12</f>
        <v>45848</v>
      </c>
      <c r="B11" s="7">
        <v>0</v>
      </c>
      <c r="C11" s="7">
        <v>2174.56</v>
      </c>
      <c r="D11" s="8">
        <v>0</v>
      </c>
      <c r="E11" s="8">
        <v>0</v>
      </c>
      <c r="F11" s="9">
        <f t="shared" si="2"/>
        <v>2174.56</v>
      </c>
      <c r="G11" s="8">
        <v>259</v>
      </c>
      <c r="H11" s="8">
        <f>1381.05-7.48</f>
        <v>1373.57</v>
      </c>
      <c r="I11" s="8">
        <v>22.47</v>
      </c>
      <c r="J11" s="8">
        <v>436.64</v>
      </c>
      <c r="K11" s="8">
        <v>13.36</v>
      </c>
      <c r="L11" s="8">
        <v>69.52</v>
      </c>
      <c r="M11" s="8">
        <v>0</v>
      </c>
      <c r="N11" s="11">
        <f t="shared" si="0"/>
        <v>2174.56</v>
      </c>
      <c r="O11" s="12">
        <f t="shared" si="1"/>
        <v>0</v>
      </c>
      <c r="P11" s="18"/>
      <c r="Q11" s="13"/>
      <c r="R11" s="14"/>
      <c r="S11" s="15">
        <f t="shared" si="3"/>
        <v>-259</v>
      </c>
    </row>
    <row r="12" spans="1:19" x14ac:dyDescent="0.25">
      <c r="A12" s="6">
        <f>'[1]Cash Variance'!A13</f>
        <v>45849</v>
      </c>
      <c r="B12" s="7">
        <v>0</v>
      </c>
      <c r="C12" s="7">
        <v>2829.38</v>
      </c>
      <c r="D12" s="8">
        <v>0</v>
      </c>
      <c r="E12" s="8">
        <v>0</v>
      </c>
      <c r="F12" s="9">
        <f t="shared" si="2"/>
        <v>2829.38</v>
      </c>
      <c r="G12" s="8">
        <v>389.19</v>
      </c>
      <c r="H12" s="8">
        <f>1734.24-9.86</f>
        <v>1724.38</v>
      </c>
      <c r="I12" s="8">
        <v>96.96</v>
      </c>
      <c r="J12" s="8">
        <v>472.16</v>
      </c>
      <c r="K12" s="8">
        <v>23.88</v>
      </c>
      <c r="L12" s="8">
        <v>122.81</v>
      </c>
      <c r="M12" s="8">
        <v>0</v>
      </c>
      <c r="N12" s="11">
        <f t="shared" si="0"/>
        <v>2829.38</v>
      </c>
      <c r="O12" s="12">
        <f t="shared" si="1"/>
        <v>0</v>
      </c>
      <c r="P12" s="8"/>
      <c r="Q12" s="13"/>
      <c r="R12" s="14"/>
      <c r="S12" s="15">
        <f t="shared" si="3"/>
        <v>-389.19</v>
      </c>
    </row>
    <row r="13" spans="1:19" x14ac:dyDescent="0.25">
      <c r="A13" s="6">
        <f>'[1]Cash Variance'!A14</f>
        <v>45850</v>
      </c>
      <c r="B13" s="7">
        <v>0</v>
      </c>
      <c r="C13" s="7">
        <v>2803.05</v>
      </c>
      <c r="D13" s="8">
        <v>0</v>
      </c>
      <c r="E13" s="8">
        <v>0</v>
      </c>
      <c r="F13" s="9">
        <f t="shared" si="2"/>
        <v>2803.05</v>
      </c>
      <c r="G13" s="8">
        <v>574.66999999999996</v>
      </c>
      <c r="H13" s="8">
        <f>1535.77-9.45</f>
        <v>1526.32</v>
      </c>
      <c r="I13" s="8">
        <v>7.49</v>
      </c>
      <c r="J13" s="8">
        <v>483.64</v>
      </c>
      <c r="K13" s="8">
        <v>55.92</v>
      </c>
      <c r="L13" s="8">
        <v>155.01</v>
      </c>
      <c r="M13" s="8">
        <v>0</v>
      </c>
      <c r="N13" s="11">
        <f t="shared" si="0"/>
        <v>2803.0499999999993</v>
      </c>
      <c r="O13" s="12">
        <f t="shared" si="1"/>
        <v>0</v>
      </c>
      <c r="P13" s="8"/>
      <c r="Q13" s="13"/>
      <c r="R13" s="14"/>
      <c r="S13" s="15">
        <f t="shared" si="3"/>
        <v>-574.66999999999996</v>
      </c>
    </row>
    <row r="14" spans="1:19" x14ac:dyDescent="0.25">
      <c r="A14" s="6">
        <f>'[1]Cash Variance'!A15</f>
        <v>45851</v>
      </c>
      <c r="B14" s="7">
        <v>0</v>
      </c>
      <c r="C14" s="7">
        <v>2461.19</v>
      </c>
      <c r="D14" s="8">
        <v>0</v>
      </c>
      <c r="E14" s="8">
        <v>0</v>
      </c>
      <c r="F14" s="9">
        <f t="shared" si="2"/>
        <v>2461.19</v>
      </c>
      <c r="G14" s="8">
        <v>347.36</v>
      </c>
      <c r="H14" s="8">
        <f>1591.22-4.48</f>
        <v>1586.74</v>
      </c>
      <c r="I14" s="8">
        <v>0</v>
      </c>
      <c r="J14" s="8">
        <v>409.51</v>
      </c>
      <c r="K14" s="8">
        <v>48.34</v>
      </c>
      <c r="L14" s="8">
        <v>59.24</v>
      </c>
      <c r="M14" s="8">
        <v>10</v>
      </c>
      <c r="N14" s="11">
        <f t="shared" si="0"/>
        <v>2461.1899999999996</v>
      </c>
      <c r="O14" s="12">
        <f t="shared" si="1"/>
        <v>0</v>
      </c>
      <c r="P14" s="8">
        <v>2745</v>
      </c>
      <c r="Q14" s="13">
        <v>45853</v>
      </c>
      <c r="R14" s="14"/>
      <c r="S14" s="15">
        <f t="shared" si="3"/>
        <v>2397.64</v>
      </c>
    </row>
    <row r="15" spans="1:19" x14ac:dyDescent="0.25">
      <c r="A15" s="6">
        <f>'[1]Cash Variance'!A16</f>
        <v>45852</v>
      </c>
      <c r="B15" s="19">
        <v>0</v>
      </c>
      <c r="C15" s="19">
        <v>1859.96</v>
      </c>
      <c r="D15" s="20">
        <v>0</v>
      </c>
      <c r="E15" s="21">
        <v>0</v>
      </c>
      <c r="F15" s="9">
        <f t="shared" si="2"/>
        <v>1859.96</v>
      </c>
      <c r="G15" s="8">
        <v>276.60000000000002</v>
      </c>
      <c r="H15" s="8">
        <v>1143.6099999999999</v>
      </c>
      <c r="I15" s="8">
        <v>46.29</v>
      </c>
      <c r="J15" s="8">
        <v>272.83999999999997</v>
      </c>
      <c r="K15" s="8">
        <v>73.69</v>
      </c>
      <c r="L15" s="8">
        <v>46.91</v>
      </c>
      <c r="M15" s="8">
        <v>0</v>
      </c>
      <c r="N15" s="11">
        <f t="shared" si="0"/>
        <v>1859.94</v>
      </c>
      <c r="O15" s="12">
        <f t="shared" si="1"/>
        <v>1.999999999998181E-2</v>
      </c>
      <c r="P15" s="8"/>
      <c r="Q15" s="13"/>
      <c r="R15" s="14"/>
      <c r="S15" s="15">
        <f t="shared" si="3"/>
        <v>-276.60000000000002</v>
      </c>
    </row>
    <row r="16" spans="1:19" x14ac:dyDescent="0.25">
      <c r="A16" s="6">
        <f>'[1]Cash Variance'!A17</f>
        <v>45853</v>
      </c>
      <c r="B16" s="22">
        <v>0</v>
      </c>
      <c r="C16" s="23">
        <v>1829.35</v>
      </c>
      <c r="D16" s="24">
        <v>0</v>
      </c>
      <c r="E16" s="25">
        <v>0</v>
      </c>
      <c r="F16" s="26">
        <f t="shared" si="2"/>
        <v>1829.35</v>
      </c>
      <c r="G16" s="10">
        <v>263.37</v>
      </c>
      <c r="H16" s="10">
        <f>1020.39-7</f>
        <v>1013.39</v>
      </c>
      <c r="I16" s="10">
        <v>0</v>
      </c>
      <c r="J16" s="10">
        <v>451.72</v>
      </c>
      <c r="K16" s="10">
        <v>0</v>
      </c>
      <c r="L16" s="10">
        <v>93.38</v>
      </c>
      <c r="M16" s="8">
        <v>7.49</v>
      </c>
      <c r="N16" s="11">
        <f t="shared" si="0"/>
        <v>1829.3500000000001</v>
      </c>
      <c r="O16" s="12">
        <f t="shared" si="1"/>
        <v>0</v>
      </c>
      <c r="P16" s="8"/>
      <c r="Q16" s="13"/>
      <c r="R16" s="14"/>
      <c r="S16" s="15">
        <f t="shared" si="3"/>
        <v>-263.37</v>
      </c>
    </row>
    <row r="17" spans="1:19" x14ac:dyDescent="0.25">
      <c r="A17" s="6">
        <f>'[1]Cash Variance'!A18</f>
        <v>45854</v>
      </c>
      <c r="B17" s="27">
        <v>0</v>
      </c>
      <c r="C17" s="28">
        <v>2114.81</v>
      </c>
      <c r="D17" s="24">
        <v>0</v>
      </c>
      <c r="E17" s="24">
        <v>0</v>
      </c>
      <c r="F17" s="26">
        <f t="shared" si="2"/>
        <v>2114.81</v>
      </c>
      <c r="G17" s="10">
        <v>320.2</v>
      </c>
      <c r="H17" s="10">
        <v>1170.31</v>
      </c>
      <c r="I17" s="10">
        <v>7.49</v>
      </c>
      <c r="J17" s="10">
        <v>496.33</v>
      </c>
      <c r="K17" s="10">
        <v>0</v>
      </c>
      <c r="L17" s="10">
        <v>120.46</v>
      </c>
      <c r="M17" s="8">
        <v>0</v>
      </c>
      <c r="N17" s="11">
        <f t="shared" si="0"/>
        <v>2114.79</v>
      </c>
      <c r="O17" s="12">
        <f t="shared" si="1"/>
        <v>1.999999999998181E-2</v>
      </c>
      <c r="P17" s="8"/>
      <c r="Q17" s="13"/>
      <c r="R17" s="14"/>
      <c r="S17" s="15">
        <f t="shared" si="3"/>
        <v>-320.2</v>
      </c>
    </row>
    <row r="18" spans="1:19" x14ac:dyDescent="0.25">
      <c r="A18" s="6">
        <f>'[1]Cash Variance'!A19</f>
        <v>45855</v>
      </c>
      <c r="B18" s="7">
        <v>0</v>
      </c>
      <c r="C18" s="7">
        <v>2031.6</v>
      </c>
      <c r="D18" s="29">
        <v>0</v>
      </c>
      <c r="E18" s="29">
        <v>0</v>
      </c>
      <c r="F18" s="9">
        <f t="shared" si="2"/>
        <v>2031.6</v>
      </c>
      <c r="G18" s="10">
        <v>212.33</v>
      </c>
      <c r="H18" s="10">
        <f>1277.57-2.45</f>
        <v>1275.1199999999999</v>
      </c>
      <c r="I18" s="10">
        <v>8.99</v>
      </c>
      <c r="J18" s="10">
        <v>440.62</v>
      </c>
      <c r="K18" s="10">
        <v>25.45</v>
      </c>
      <c r="L18" s="10">
        <v>69.09</v>
      </c>
      <c r="M18" s="8">
        <v>0</v>
      </c>
      <c r="N18" s="11">
        <f t="shared" si="0"/>
        <v>2031.6</v>
      </c>
      <c r="O18" s="12">
        <f t="shared" si="1"/>
        <v>0</v>
      </c>
      <c r="P18" s="8"/>
      <c r="Q18" s="13"/>
      <c r="R18" s="14"/>
      <c r="S18" s="15">
        <f t="shared" si="3"/>
        <v>-212.33</v>
      </c>
    </row>
    <row r="19" spans="1:19" x14ac:dyDescent="0.25">
      <c r="A19" s="6">
        <f>'[1]Cash Variance'!A20</f>
        <v>45856</v>
      </c>
      <c r="B19" s="7">
        <v>0</v>
      </c>
      <c r="C19" s="7">
        <v>3820.54</v>
      </c>
      <c r="D19" s="8">
        <v>0</v>
      </c>
      <c r="E19" s="8">
        <v>0</v>
      </c>
      <c r="F19" s="9">
        <f t="shared" si="2"/>
        <v>3820.54</v>
      </c>
      <c r="G19" s="8">
        <v>557.59</v>
      </c>
      <c r="H19" s="8">
        <f>2504.26-4.46</f>
        <v>2499.8000000000002</v>
      </c>
      <c r="I19" s="8">
        <v>21.98</v>
      </c>
      <c r="J19" s="8">
        <v>639.57000000000005</v>
      </c>
      <c r="K19" s="8">
        <v>33.200000000000003</v>
      </c>
      <c r="L19" s="8">
        <v>68.400000000000006</v>
      </c>
      <c r="M19" s="8">
        <v>0</v>
      </c>
      <c r="N19" s="11">
        <f t="shared" si="0"/>
        <v>3820.5400000000004</v>
      </c>
      <c r="O19" s="12">
        <f t="shared" si="1"/>
        <v>0</v>
      </c>
      <c r="P19" s="18"/>
      <c r="Q19" s="13"/>
      <c r="R19" s="14"/>
      <c r="S19" s="15">
        <f t="shared" si="3"/>
        <v>-557.59</v>
      </c>
    </row>
    <row r="20" spans="1:19" x14ac:dyDescent="0.25">
      <c r="A20" s="6">
        <f>'[1]Cash Variance'!A21</f>
        <v>45857</v>
      </c>
      <c r="B20" s="7">
        <v>0</v>
      </c>
      <c r="C20" s="7">
        <v>2588.8200000000002</v>
      </c>
      <c r="D20" s="8">
        <v>0</v>
      </c>
      <c r="E20" s="8">
        <v>0</v>
      </c>
      <c r="F20" s="9">
        <f t="shared" si="2"/>
        <v>2588.8200000000002</v>
      </c>
      <c r="G20" s="8">
        <v>466.47</v>
      </c>
      <c r="H20" s="8">
        <v>1616.79</v>
      </c>
      <c r="I20" s="8">
        <v>0</v>
      </c>
      <c r="J20" s="8">
        <v>380.63</v>
      </c>
      <c r="K20" s="8">
        <v>20.28</v>
      </c>
      <c r="L20" s="8">
        <v>104.64</v>
      </c>
      <c r="M20" s="8">
        <v>0</v>
      </c>
      <c r="N20" s="11">
        <f t="shared" si="0"/>
        <v>2588.8100000000004</v>
      </c>
      <c r="O20" s="12">
        <f t="shared" si="1"/>
        <v>9.9999999997635314E-3</v>
      </c>
      <c r="P20" s="18"/>
      <c r="Q20" s="13"/>
      <c r="R20" s="14"/>
      <c r="S20" s="15">
        <f t="shared" si="3"/>
        <v>-466.47</v>
      </c>
    </row>
    <row r="21" spans="1:19" x14ac:dyDescent="0.25">
      <c r="A21" s="6">
        <f>'[1]Cash Variance'!A22</f>
        <v>45858</v>
      </c>
      <c r="B21" s="7">
        <v>0</v>
      </c>
      <c r="C21" s="7">
        <v>2157.14</v>
      </c>
      <c r="D21" s="8">
        <v>0</v>
      </c>
      <c r="E21" s="8">
        <v>0</v>
      </c>
      <c r="F21" s="9">
        <f t="shared" si="2"/>
        <v>2157.14</v>
      </c>
      <c r="G21" s="8">
        <v>423.07</v>
      </c>
      <c r="H21" s="8">
        <v>1192.3800000000001</v>
      </c>
      <c r="I21" s="8">
        <v>40.159999999999997</v>
      </c>
      <c r="J21" s="8">
        <v>384.43</v>
      </c>
      <c r="K21" s="8">
        <v>18.14</v>
      </c>
      <c r="L21" s="8">
        <v>98.96</v>
      </c>
      <c r="M21" s="8">
        <v>0</v>
      </c>
      <c r="N21" s="11">
        <f t="shared" si="0"/>
        <v>2157.1400000000003</v>
      </c>
      <c r="O21" s="12">
        <f t="shared" si="1"/>
        <v>0</v>
      </c>
      <c r="P21" s="8"/>
      <c r="Q21" s="13"/>
      <c r="R21" s="14"/>
      <c r="S21" s="15">
        <f t="shared" si="3"/>
        <v>-423.07</v>
      </c>
    </row>
    <row r="22" spans="1:19" x14ac:dyDescent="0.25">
      <c r="A22" s="6">
        <f>'[1]Cash Variance'!A23</f>
        <v>45859</v>
      </c>
      <c r="B22" s="7">
        <v>0</v>
      </c>
      <c r="C22" s="7">
        <v>1857.65</v>
      </c>
      <c r="D22" s="8">
        <v>0</v>
      </c>
      <c r="E22" s="10">
        <v>0</v>
      </c>
      <c r="F22" s="9">
        <f t="shared" si="2"/>
        <v>1857.65</v>
      </c>
      <c r="G22" s="8">
        <v>342.23</v>
      </c>
      <c r="H22" s="8">
        <v>972.18</v>
      </c>
      <c r="I22" s="8">
        <v>0</v>
      </c>
      <c r="J22" s="8">
        <v>454.94</v>
      </c>
      <c r="K22" s="8">
        <v>51.96</v>
      </c>
      <c r="L22" s="8">
        <v>21.32</v>
      </c>
      <c r="M22" s="8">
        <v>14.98</v>
      </c>
      <c r="N22" s="11">
        <f t="shared" si="0"/>
        <v>1857.61</v>
      </c>
      <c r="O22" s="12">
        <f t="shared" si="1"/>
        <v>4.0000000000190994E-2</v>
      </c>
      <c r="P22" s="18"/>
      <c r="Q22" s="13"/>
      <c r="R22" s="30"/>
      <c r="S22" s="15">
        <f t="shared" si="3"/>
        <v>-342.23</v>
      </c>
    </row>
    <row r="23" spans="1:19" x14ac:dyDescent="0.25">
      <c r="A23" s="6">
        <f>'[1]Cash Variance'!A24</f>
        <v>45860</v>
      </c>
      <c r="B23" s="7">
        <v>0</v>
      </c>
      <c r="C23" s="7">
        <v>1916.56</v>
      </c>
      <c r="D23" s="8">
        <v>0</v>
      </c>
      <c r="E23" s="10">
        <v>0</v>
      </c>
      <c r="F23" s="9">
        <f t="shared" si="2"/>
        <v>1916.56</v>
      </c>
      <c r="G23" s="8">
        <v>299.55</v>
      </c>
      <c r="H23" s="8">
        <v>1185.57</v>
      </c>
      <c r="I23" s="8">
        <v>17.48</v>
      </c>
      <c r="J23" s="8">
        <v>403.78</v>
      </c>
      <c r="K23" s="8">
        <v>10.16</v>
      </c>
      <c r="L23" s="8">
        <v>0</v>
      </c>
      <c r="M23" s="8">
        <v>0</v>
      </c>
      <c r="N23" s="11">
        <f t="shared" si="0"/>
        <v>1916.54</v>
      </c>
      <c r="O23" s="12">
        <f t="shared" si="1"/>
        <v>1.999999999998181E-2</v>
      </c>
      <c r="P23" s="8">
        <v>2858</v>
      </c>
      <c r="Q23" s="13">
        <v>45860</v>
      </c>
      <c r="R23" s="17"/>
      <c r="S23" s="15">
        <f>P23-G23-R23</f>
        <v>2558.4499999999998</v>
      </c>
    </row>
    <row r="24" spans="1:19" x14ac:dyDescent="0.25">
      <c r="A24" s="6">
        <f>'[1]Cash Variance'!A25</f>
        <v>45861</v>
      </c>
      <c r="B24" s="7">
        <v>0</v>
      </c>
      <c r="C24" s="7">
        <v>2541.6</v>
      </c>
      <c r="D24" s="8">
        <v>0</v>
      </c>
      <c r="E24" s="8">
        <v>0</v>
      </c>
      <c r="F24" s="9">
        <f t="shared" si="2"/>
        <v>2541.6</v>
      </c>
      <c r="G24" s="8">
        <v>407.61</v>
      </c>
      <c r="H24" s="8">
        <v>1476.06</v>
      </c>
      <c r="I24" s="8">
        <v>4.49</v>
      </c>
      <c r="J24" s="8">
        <v>571.77</v>
      </c>
      <c r="K24" s="8">
        <v>40.81</v>
      </c>
      <c r="L24" s="8">
        <v>40.83</v>
      </c>
      <c r="M24" s="8">
        <v>0</v>
      </c>
      <c r="N24" s="11">
        <f t="shared" si="0"/>
        <v>2541.5700000000002</v>
      </c>
      <c r="O24" s="12">
        <f t="shared" si="1"/>
        <v>2.9999999999745341E-2</v>
      </c>
      <c r="P24" s="31"/>
      <c r="Q24" s="13"/>
      <c r="R24" s="14"/>
      <c r="S24" s="15">
        <f t="shared" si="3"/>
        <v>-407.61</v>
      </c>
    </row>
    <row r="25" spans="1:19" x14ac:dyDescent="0.25">
      <c r="A25" s="6">
        <f>'[1]Cash Variance'!A26</f>
        <v>45862</v>
      </c>
      <c r="B25" s="7">
        <v>0</v>
      </c>
      <c r="C25" s="7">
        <v>2132.5700000000002</v>
      </c>
      <c r="D25" s="8">
        <v>0</v>
      </c>
      <c r="E25" s="8">
        <v>0</v>
      </c>
      <c r="F25" s="9">
        <f t="shared" si="2"/>
        <v>2132.5700000000002</v>
      </c>
      <c r="G25" s="8">
        <v>364.34</v>
      </c>
      <c r="H25" s="8">
        <v>1154.23</v>
      </c>
      <c r="I25" s="8">
        <v>15.48</v>
      </c>
      <c r="J25" s="8">
        <v>469.43</v>
      </c>
      <c r="K25" s="8">
        <v>0</v>
      </c>
      <c r="L25" s="8">
        <v>129.08000000000001</v>
      </c>
      <c r="M25" s="8">
        <v>0</v>
      </c>
      <c r="N25" s="11">
        <f t="shared" si="0"/>
        <v>2132.56</v>
      </c>
      <c r="O25" s="12">
        <f t="shared" si="1"/>
        <v>1.0000000000218279E-2</v>
      </c>
      <c r="P25" s="18"/>
      <c r="Q25" s="13"/>
      <c r="R25" s="14"/>
      <c r="S25" s="15">
        <f t="shared" si="3"/>
        <v>-364.34</v>
      </c>
    </row>
    <row r="26" spans="1:19" x14ac:dyDescent="0.25">
      <c r="A26" s="6">
        <f>'[1]Cash Variance'!A27</f>
        <v>45863</v>
      </c>
      <c r="B26" s="7">
        <v>0</v>
      </c>
      <c r="C26" s="7">
        <v>2981.58</v>
      </c>
      <c r="D26" s="8">
        <v>0</v>
      </c>
      <c r="E26" s="8">
        <v>0</v>
      </c>
      <c r="F26" s="9">
        <f t="shared" si="2"/>
        <v>2981.58</v>
      </c>
      <c r="G26" s="8">
        <v>294.57</v>
      </c>
      <c r="H26" s="8">
        <v>2047.77</v>
      </c>
      <c r="I26" s="8">
        <v>7.49</v>
      </c>
      <c r="J26" s="8">
        <v>532.53</v>
      </c>
      <c r="K26" s="8">
        <v>0</v>
      </c>
      <c r="L26" s="8">
        <v>79.19</v>
      </c>
      <c r="M26" s="8">
        <v>20</v>
      </c>
      <c r="N26" s="11">
        <f t="shared" si="0"/>
        <v>2981.5499999999997</v>
      </c>
      <c r="O26" s="12">
        <f t="shared" si="1"/>
        <v>3.0000000000200089E-2</v>
      </c>
      <c r="P26" s="8"/>
      <c r="Q26" s="13"/>
      <c r="R26" s="14"/>
      <c r="S26" s="15">
        <f t="shared" si="3"/>
        <v>-294.57</v>
      </c>
    </row>
    <row r="27" spans="1:19" x14ac:dyDescent="0.25">
      <c r="A27" s="6">
        <f>'[1]Cash Variance'!A28</f>
        <v>45864</v>
      </c>
      <c r="B27" s="7">
        <v>0</v>
      </c>
      <c r="C27" s="7">
        <v>2657.42</v>
      </c>
      <c r="D27" s="8">
        <v>0</v>
      </c>
      <c r="E27" s="8">
        <v>0</v>
      </c>
      <c r="F27" s="9">
        <f t="shared" si="2"/>
        <v>2657.42</v>
      </c>
      <c r="G27" s="8">
        <v>453.4</v>
      </c>
      <c r="H27" s="8">
        <v>1638.68</v>
      </c>
      <c r="I27" s="8">
        <v>0</v>
      </c>
      <c r="J27" s="8">
        <v>538.20000000000005</v>
      </c>
      <c r="K27" s="8">
        <v>14.92</v>
      </c>
      <c r="L27" s="8">
        <v>12.19</v>
      </c>
      <c r="M27" s="8">
        <v>0</v>
      </c>
      <c r="N27" s="11">
        <f t="shared" si="0"/>
        <v>2657.39</v>
      </c>
      <c r="O27" s="12">
        <f t="shared" si="1"/>
        <v>3.0000000000200089E-2</v>
      </c>
      <c r="P27" s="8"/>
      <c r="Q27" s="13"/>
      <c r="R27" s="14"/>
      <c r="S27" s="15">
        <f t="shared" si="3"/>
        <v>-453.4</v>
      </c>
    </row>
    <row r="28" spans="1:19" x14ac:dyDescent="0.25">
      <c r="A28" s="6">
        <f>'[1]Cash Variance'!A29</f>
        <v>45865</v>
      </c>
      <c r="B28" s="7">
        <v>0</v>
      </c>
      <c r="C28" s="7">
        <v>2292.62</v>
      </c>
      <c r="D28" s="8">
        <v>0</v>
      </c>
      <c r="E28" s="8">
        <v>0</v>
      </c>
      <c r="F28" s="9">
        <f t="shared" si="2"/>
        <v>2292.62</v>
      </c>
      <c r="G28" s="8">
        <v>434.32</v>
      </c>
      <c r="H28" s="8">
        <v>1269.76</v>
      </c>
      <c r="I28" s="8">
        <v>36.96</v>
      </c>
      <c r="J28" s="8">
        <v>394.56</v>
      </c>
      <c r="K28" s="8">
        <v>80.61</v>
      </c>
      <c r="L28" s="8">
        <v>76.38</v>
      </c>
      <c r="M28" s="8">
        <v>0</v>
      </c>
      <c r="N28" s="11">
        <f t="shared" si="0"/>
        <v>2292.59</v>
      </c>
      <c r="O28" s="12">
        <f t="shared" si="1"/>
        <v>2.9999999999745341E-2</v>
      </c>
      <c r="P28" s="8"/>
      <c r="Q28" s="13"/>
      <c r="R28" s="14"/>
      <c r="S28" s="15">
        <f t="shared" si="3"/>
        <v>-434.32</v>
      </c>
    </row>
    <row r="29" spans="1:19" x14ac:dyDescent="0.25">
      <c r="A29" s="6">
        <f>'[1]Cash Variance'!A30</f>
        <v>45866</v>
      </c>
      <c r="B29" s="7">
        <v>0</v>
      </c>
      <c r="C29" s="7">
        <v>2048.42</v>
      </c>
      <c r="D29" s="8">
        <v>0</v>
      </c>
      <c r="E29" s="8">
        <v>0</v>
      </c>
      <c r="F29" s="9">
        <f t="shared" si="2"/>
        <v>2048.42</v>
      </c>
      <c r="G29" s="8">
        <v>325.36</v>
      </c>
      <c r="H29" s="8">
        <v>1308.8699999999999</v>
      </c>
      <c r="I29" s="8">
        <v>7.49</v>
      </c>
      <c r="J29" s="8">
        <v>396.54</v>
      </c>
      <c r="K29" s="8">
        <v>10.15</v>
      </c>
      <c r="L29" s="8">
        <v>0</v>
      </c>
      <c r="M29" s="8">
        <v>0</v>
      </c>
      <c r="N29" s="11">
        <f t="shared" si="0"/>
        <v>2048.41</v>
      </c>
      <c r="O29" s="12">
        <f t="shared" si="1"/>
        <v>1.0000000000218279E-2</v>
      </c>
      <c r="P29" s="8"/>
      <c r="Q29" s="13"/>
      <c r="R29" s="14"/>
      <c r="S29" s="15">
        <f t="shared" si="3"/>
        <v>-325.36</v>
      </c>
    </row>
    <row r="30" spans="1:19" x14ac:dyDescent="0.25">
      <c r="A30" s="6">
        <f>'[1]Cash Variance'!A31</f>
        <v>45867</v>
      </c>
      <c r="B30" s="7">
        <v>0</v>
      </c>
      <c r="C30" s="7">
        <v>2152.1799999999998</v>
      </c>
      <c r="D30" s="8">
        <v>0</v>
      </c>
      <c r="E30" s="8">
        <v>0</v>
      </c>
      <c r="F30" s="9">
        <f t="shared" si="2"/>
        <v>2152.1799999999998</v>
      </c>
      <c r="G30" s="8">
        <v>401.03</v>
      </c>
      <c r="H30" s="8">
        <v>1178.45</v>
      </c>
      <c r="I30" s="8">
        <v>42.7</v>
      </c>
      <c r="J30" s="8">
        <v>408.42</v>
      </c>
      <c r="K30" s="8">
        <v>0</v>
      </c>
      <c r="L30" s="8">
        <v>121.52</v>
      </c>
      <c r="M30" s="8">
        <v>0</v>
      </c>
      <c r="N30" s="11">
        <f t="shared" si="0"/>
        <v>2152.1200000000003</v>
      </c>
      <c r="O30" s="12">
        <f t="shared" si="1"/>
        <v>5.9999999999490683E-2</v>
      </c>
      <c r="P30" s="18"/>
      <c r="Q30" s="13"/>
      <c r="R30" s="14"/>
      <c r="S30" s="15">
        <f t="shared" si="3"/>
        <v>-401.03</v>
      </c>
    </row>
    <row r="31" spans="1:19" x14ac:dyDescent="0.25">
      <c r="A31" s="6">
        <f>'[1]Cash Variance'!A32</f>
        <v>45868</v>
      </c>
      <c r="B31" s="7">
        <v>0</v>
      </c>
      <c r="C31" s="7">
        <v>2362.4699999999998</v>
      </c>
      <c r="D31" s="8">
        <v>0</v>
      </c>
      <c r="E31" s="8">
        <v>0</v>
      </c>
      <c r="F31" s="9">
        <f t="shared" si="2"/>
        <v>2362.4699999999998</v>
      </c>
      <c r="G31" s="8">
        <v>412</v>
      </c>
      <c r="H31" s="8">
        <f>1404.25-2.49</f>
        <v>1401.76</v>
      </c>
      <c r="I31" s="8">
        <v>7.49</v>
      </c>
      <c r="J31" s="8">
        <v>414.39</v>
      </c>
      <c r="K31" s="8">
        <v>35.619999999999997</v>
      </c>
      <c r="L31" s="8">
        <v>91.21</v>
      </c>
      <c r="M31" s="8">
        <v>0</v>
      </c>
      <c r="N31" s="11">
        <f t="shared" si="0"/>
        <v>2362.4699999999998</v>
      </c>
      <c r="O31" s="12">
        <f t="shared" si="1"/>
        <v>0</v>
      </c>
      <c r="P31" s="8"/>
      <c r="Q31" s="13"/>
      <c r="R31" s="14"/>
      <c r="S31" s="15">
        <f t="shared" si="3"/>
        <v>-412</v>
      </c>
    </row>
    <row r="32" spans="1:19" ht="15.75" thickBot="1" x14ac:dyDescent="0.3">
      <c r="A32" s="6">
        <f>'[1]Cash Variance'!A33</f>
        <v>45869</v>
      </c>
      <c r="B32" s="7">
        <v>0</v>
      </c>
      <c r="C32" s="7">
        <v>2496.75</v>
      </c>
      <c r="D32" s="8">
        <v>0</v>
      </c>
      <c r="E32" s="8">
        <v>0</v>
      </c>
      <c r="F32" s="9">
        <f t="shared" si="2"/>
        <v>2496.75</v>
      </c>
      <c r="G32" s="8">
        <v>462.19</v>
      </c>
      <c r="H32" s="8">
        <f>1314.74-23.17</f>
        <v>1291.57</v>
      </c>
      <c r="I32" s="8">
        <v>18.829999999999998</v>
      </c>
      <c r="J32" s="8">
        <v>437.16</v>
      </c>
      <c r="K32" s="8">
        <v>27.46</v>
      </c>
      <c r="L32" s="8">
        <v>259.54000000000002</v>
      </c>
      <c r="M32" s="8">
        <v>0</v>
      </c>
      <c r="N32" s="11">
        <f t="shared" si="0"/>
        <v>2496.75</v>
      </c>
      <c r="O32" s="12">
        <f t="shared" si="1"/>
        <v>0</v>
      </c>
      <c r="P32" s="8"/>
      <c r="Q32" s="13"/>
      <c r="R32" s="14"/>
      <c r="S32" s="15">
        <f t="shared" si="3"/>
        <v>-462.19</v>
      </c>
    </row>
    <row r="33" spans="1:19" ht="15.75" thickBot="1" x14ac:dyDescent="0.3">
      <c r="A33" s="32" t="s">
        <v>8</v>
      </c>
      <c r="B33" s="33">
        <f t="shared" ref="B33:M33" si="4">SUM(B2:B32)</f>
        <v>0</v>
      </c>
      <c r="C33" s="33">
        <f t="shared" si="4"/>
        <v>73766.249999999985</v>
      </c>
      <c r="D33" s="33">
        <f t="shared" si="4"/>
        <v>0</v>
      </c>
      <c r="E33" s="33">
        <f>SUM(E2:E32)</f>
        <v>0</v>
      </c>
      <c r="F33" s="34">
        <f>SUM(F2:F32)</f>
        <v>73766.249999999985</v>
      </c>
      <c r="G33" s="33">
        <f t="shared" si="4"/>
        <v>12267.17</v>
      </c>
      <c r="H33" s="33">
        <f>SUM(H2:H32)</f>
        <v>42880.510000000009</v>
      </c>
      <c r="I33" s="33">
        <f t="shared" si="4"/>
        <v>563.25000000000011</v>
      </c>
      <c r="J33" s="33">
        <f t="shared" si="4"/>
        <v>14106.400000000003</v>
      </c>
      <c r="K33" s="33">
        <f t="shared" si="4"/>
        <v>1082.99</v>
      </c>
      <c r="L33" s="33">
        <f t="shared" si="4"/>
        <v>2805.1100000000006</v>
      </c>
      <c r="M33" s="33">
        <f t="shared" si="4"/>
        <v>62.47</v>
      </c>
      <c r="N33" s="34">
        <f>SUM(N2:N32)</f>
        <v>73767.899999999994</v>
      </c>
      <c r="O33" s="34">
        <f t="shared" ref="O33:R33" si="5">SUM(O2:O32)</f>
        <v>-1.6500000000000909</v>
      </c>
      <c r="P33" s="33">
        <f>SUM(P2:P32)</f>
        <v>8681</v>
      </c>
      <c r="Q33" s="33"/>
      <c r="R33" s="33">
        <f t="shared" si="5"/>
        <v>0</v>
      </c>
      <c r="S33" s="34">
        <f>SUM(S2:S32)</f>
        <v>-3586.1700000000005</v>
      </c>
    </row>
    <row r="34" spans="1:19" x14ac:dyDescent="0.25">
      <c r="A34" s="35" t="s">
        <v>0</v>
      </c>
      <c r="B34" s="36">
        <f>+B33</f>
        <v>0</v>
      </c>
      <c r="C34" s="36">
        <f>+C33</f>
        <v>73766.249999999985</v>
      </c>
      <c r="D34" s="36">
        <f>+D33</f>
        <v>0</v>
      </c>
      <c r="E34" s="36">
        <f>+E33</f>
        <v>0</v>
      </c>
      <c r="F34" s="35"/>
      <c r="G34" s="36">
        <f>+G33</f>
        <v>12267.17</v>
      </c>
      <c r="H34" s="35"/>
      <c r="I34" s="35"/>
      <c r="J34" s="36">
        <f>+J33</f>
        <v>14106.400000000003</v>
      </c>
      <c r="K34" s="36">
        <f>+K33</f>
        <v>1082.99</v>
      </c>
      <c r="L34" s="36">
        <f>+L33</f>
        <v>2805.1100000000006</v>
      </c>
      <c r="M34" s="36">
        <f>+M33</f>
        <v>62.47</v>
      </c>
      <c r="N34" s="35"/>
      <c r="O34" s="35"/>
      <c r="P34" s="35"/>
      <c r="Q34" s="35"/>
      <c r="R34" s="35"/>
      <c r="S34" s="35"/>
    </row>
    <row r="35" spans="1:19" x14ac:dyDescent="0.25">
      <c r="A35" s="37" t="s">
        <v>9</v>
      </c>
      <c r="B35" s="38">
        <f>+B33</f>
        <v>0</v>
      </c>
      <c r="C35" s="38">
        <f>+C33</f>
        <v>73766.249999999985</v>
      </c>
      <c r="D35" s="38">
        <f>+D34</f>
        <v>0</v>
      </c>
      <c r="E35" s="38">
        <f>+E33</f>
        <v>0</v>
      </c>
      <c r="F35" s="37"/>
      <c r="G35" s="38">
        <f>+G33</f>
        <v>12267.17</v>
      </c>
      <c r="H35" s="37"/>
      <c r="I35" s="37"/>
      <c r="J35" s="38">
        <f>++J33</f>
        <v>14106.400000000003</v>
      </c>
      <c r="K35" s="38">
        <f>+K33</f>
        <v>1082.99</v>
      </c>
      <c r="L35" s="38">
        <f>+L33</f>
        <v>2805.1100000000006</v>
      </c>
      <c r="M35" s="38">
        <f>+M33</f>
        <v>62.47</v>
      </c>
      <c r="N35" s="37"/>
      <c r="O35" s="37"/>
      <c r="P35" s="37"/>
      <c r="Q35" s="37"/>
      <c r="R35" s="37"/>
      <c r="S35" s="37"/>
    </row>
    <row r="36" spans="1:19" x14ac:dyDescent="0.25">
      <c r="A36" s="37"/>
      <c r="B36" s="37"/>
      <c r="C36" s="37"/>
      <c r="D36" s="37"/>
      <c r="E36" s="37"/>
      <c r="F36" s="37"/>
      <c r="G36" s="37"/>
      <c r="H36" s="48" t="s">
        <v>10</v>
      </c>
      <c r="I36" s="48"/>
      <c r="J36" s="40">
        <v>16888.099999999999</v>
      </c>
      <c r="K36" s="39">
        <f>1078.59+40-13.36</f>
        <v>1105.23</v>
      </c>
      <c r="L36" s="39">
        <v>3452.34</v>
      </c>
      <c r="M36" s="37"/>
      <c r="N36" s="37"/>
      <c r="O36" s="37"/>
      <c r="P36" s="37"/>
      <c r="Q36" s="37"/>
      <c r="R36" s="37"/>
      <c r="S36" s="41"/>
    </row>
    <row r="37" spans="1:19" x14ac:dyDescent="0.25">
      <c r="A37" s="37"/>
      <c r="B37" s="37"/>
      <c r="C37" s="37"/>
      <c r="D37" s="37"/>
      <c r="E37" s="37"/>
      <c r="F37" s="37"/>
      <c r="G37" s="37"/>
      <c r="H37" s="48" t="s">
        <v>11</v>
      </c>
      <c r="I37" s="48"/>
      <c r="J37" s="42">
        <f>+J36-J33</f>
        <v>2781.6999999999953</v>
      </c>
      <c r="K37" s="43">
        <f>+K36-K33</f>
        <v>22.240000000000009</v>
      </c>
      <c r="L37" s="43">
        <f>+L36-L33</f>
        <v>647.22999999999956</v>
      </c>
      <c r="M37" s="37"/>
      <c r="N37" s="37"/>
      <c r="O37" s="37"/>
      <c r="P37" s="37"/>
      <c r="Q37" s="37"/>
      <c r="R37" s="37"/>
      <c r="S37" s="37"/>
    </row>
    <row r="38" spans="1:19" x14ac:dyDescent="0.25">
      <c r="A38" s="37"/>
      <c r="B38" s="37"/>
      <c r="C38" s="37"/>
      <c r="D38" s="37"/>
      <c r="E38" s="37"/>
      <c r="F38" s="37"/>
      <c r="G38" s="37"/>
      <c r="H38" s="48" t="s">
        <v>12</v>
      </c>
      <c r="I38" s="48"/>
      <c r="J38" s="40">
        <v>-2903.8</v>
      </c>
      <c r="K38" s="39">
        <v>-110.58</v>
      </c>
      <c r="L38" s="39">
        <f>-571.27+190.55</f>
        <v>-380.71999999999997</v>
      </c>
      <c r="M38" s="37"/>
      <c r="N38" s="37"/>
      <c r="O38" s="37"/>
      <c r="P38" s="37"/>
      <c r="Q38" s="37"/>
      <c r="R38" s="37"/>
      <c r="S38" s="44"/>
    </row>
    <row r="39" spans="1:19" x14ac:dyDescent="0.25">
      <c r="A39" s="37"/>
      <c r="B39" s="37"/>
      <c r="C39" s="37"/>
      <c r="D39" s="37"/>
      <c r="E39" s="37"/>
      <c r="F39" s="37"/>
      <c r="G39" s="37"/>
      <c r="H39" s="48" t="s">
        <v>13</v>
      </c>
      <c r="I39" s="48"/>
      <c r="J39" s="40">
        <v>-3167.42</v>
      </c>
      <c r="K39" s="39">
        <f>-101.62-34.54</f>
        <v>-136.16</v>
      </c>
      <c r="L39" s="39">
        <v>-670.8</v>
      </c>
      <c r="M39" s="37"/>
      <c r="N39" s="37"/>
      <c r="O39" s="37"/>
      <c r="P39" s="37"/>
      <c r="Q39" s="37"/>
      <c r="R39" s="37"/>
      <c r="S39" s="37"/>
    </row>
    <row r="40" spans="1:19" x14ac:dyDescent="0.25">
      <c r="A40" s="37"/>
      <c r="B40" s="37"/>
      <c r="C40" s="37"/>
      <c r="D40" s="37"/>
      <c r="E40" s="37"/>
      <c r="F40" s="37"/>
      <c r="G40" s="37"/>
      <c r="H40" s="48" t="s">
        <v>14</v>
      </c>
      <c r="I40" s="48"/>
      <c r="J40" s="40">
        <v>-145.41999999999999</v>
      </c>
      <c r="K40" s="39">
        <v>-11.25</v>
      </c>
      <c r="L40" s="39">
        <v>13.79</v>
      </c>
      <c r="M40" s="37"/>
      <c r="N40" s="37"/>
      <c r="O40" s="37"/>
      <c r="P40" s="37"/>
      <c r="Q40" s="37"/>
      <c r="R40" s="37"/>
      <c r="S40" s="37"/>
    </row>
    <row r="41" spans="1:19" ht="15.75" thickBot="1" x14ac:dyDescent="0.3">
      <c r="A41" s="37"/>
      <c r="B41" s="37"/>
      <c r="C41" s="37"/>
      <c r="D41" s="37"/>
      <c r="E41" s="37"/>
      <c r="F41" s="37"/>
      <c r="G41" s="37"/>
      <c r="H41" s="49" t="s">
        <v>15</v>
      </c>
      <c r="I41" s="49"/>
      <c r="J41" s="45">
        <f>+J36+J38+J39+J40</f>
        <v>10671.46</v>
      </c>
      <c r="K41" s="46">
        <f>+K36+K38+K39+K40</f>
        <v>847.24</v>
      </c>
      <c r="L41" s="46">
        <f>+L36+L38+L39+L40</f>
        <v>2414.6100000000006</v>
      </c>
      <c r="M41" s="37"/>
      <c r="N41" s="37"/>
      <c r="O41" s="37"/>
      <c r="P41" s="37"/>
      <c r="Q41" s="37"/>
      <c r="R41" s="37"/>
      <c r="S41" s="37"/>
    </row>
    <row r="42" spans="1:19" ht="15.75" thickTop="1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>
        <v>2414.61</v>
      </c>
      <c r="M42" s="37"/>
      <c r="N42" s="37"/>
      <c r="O42" s="37"/>
      <c r="P42" s="37"/>
      <c r="Q42" s="37"/>
      <c r="R42" s="37"/>
      <c r="S42" s="37"/>
    </row>
    <row r="43" spans="1:19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8">
        <f>L42-L41</f>
        <v>0</v>
      </c>
      <c r="M43" s="37"/>
      <c r="N43" s="37"/>
      <c r="O43" s="37"/>
      <c r="P43" s="37"/>
      <c r="Q43" s="37"/>
      <c r="R43" s="37"/>
      <c r="S43" s="37"/>
    </row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2025-08-21T05:49:07Z</dcterms:created>
  <dcterms:modified xsi:type="dcterms:W3CDTF">2025-10-08T07:49:44Z</dcterms:modified>
</cp:coreProperties>
</file>