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D:\Portofolio Project\Excel\"/>
    </mc:Choice>
  </mc:AlternateContent>
  <xr:revisionPtr revIDLastSave="0" documentId="13_ncr:1_{21166F9E-21D7-46EE-A133-5F196A83A004}" xr6:coauthVersionLast="47" xr6:coauthVersionMax="47" xr10:uidLastSave="{00000000-0000-0000-0000-000000000000}"/>
  <bookViews>
    <workbookView xWindow="-120" yWindow="-120" windowWidth="20730" windowHeight="11760" xr2:uid="{56037A39-5A54-4AF2-86CF-5549414BADF1}"/>
  </bookViews>
  <sheets>
    <sheet name="Soal" sheetId="1" r:id="rId1"/>
    <sheet name="Arti Kode Pagawai" sheetId="2" state="veryHidden" r:id="rId2"/>
    <sheet name="Penjelasan Kode" sheetId="4" r:id="rId3"/>
    <sheet name="XL-Test" sheetId="3" r:id="rId4"/>
  </sheets>
  <definedNames>
    <definedName name="_xlnm._FilterDatabase" localSheetId="0" hidden="1">Soal!$A$2:$AD$2</definedName>
    <definedName name="kode_jawaban">'Arti Kode Pagawai'!$AB$107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4" i="1" l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AC3" i="1"/>
  <c r="AB3" i="1"/>
  <c r="AA3" i="1"/>
  <c r="Z3" i="1"/>
  <c r="Y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3" i="1"/>
  <c r="S4" i="1" a="1"/>
  <c r="S4" i="1"/>
  <c r="S5" i="1" a="1"/>
  <c r="S5" i="1"/>
  <c r="S6" i="1" a="1"/>
  <c r="S6" i="1"/>
  <c r="S7" i="1" a="1"/>
  <c r="S7" i="1"/>
  <c r="S8" i="1" a="1"/>
  <c r="S8" i="1"/>
  <c r="S9" i="1" a="1"/>
  <c r="S9" i="1"/>
  <c r="S10" i="1" a="1"/>
  <c r="S10" i="1"/>
  <c r="S11" i="1" a="1"/>
  <c r="S11" i="1"/>
  <c r="S12" i="1" a="1"/>
  <c r="S12" i="1"/>
  <c r="S13" i="1" a="1"/>
  <c r="S13" i="1"/>
  <c r="S14" i="1" a="1"/>
  <c r="S14" i="1"/>
  <c r="S15" i="1" a="1"/>
  <c r="S15" i="1"/>
  <c r="S16" i="1" a="1"/>
  <c r="S16" i="1"/>
  <c r="S17" i="1" a="1"/>
  <c r="S17" i="1"/>
  <c r="S3" i="1" a="1"/>
  <c r="S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3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3" i="1"/>
  <c r="AQ102" i="2"/>
  <c r="AQ101" i="2"/>
  <c r="AN102" i="2"/>
  <c r="AN103" i="2"/>
  <c r="AN101" i="2"/>
  <c r="AL101" i="2"/>
  <c r="AK102" i="2"/>
  <c r="AK103" i="2"/>
  <c r="AK101" i="2"/>
  <c r="AL103" i="2"/>
  <c r="AL102" i="2"/>
  <c r="AF101" i="2"/>
  <c r="AF102" i="2"/>
  <c r="AF103" i="2"/>
  <c r="AG102" i="2"/>
  <c r="AG103" i="2"/>
  <c r="AG101" i="2"/>
  <c r="AC102" i="2"/>
  <c r="AC103" i="2"/>
  <c r="AH102" i="2"/>
  <c r="AH103" i="2"/>
  <c r="AH101" i="2"/>
  <c r="AB101" i="2"/>
  <c r="AD101" i="2"/>
  <c r="AE101" i="2"/>
  <c r="AE102" i="2"/>
  <c r="AE103" i="2"/>
  <c r="AB103" i="2"/>
  <c r="AD102" i="2"/>
  <c r="AD103" i="2"/>
  <c r="AB102" i="2"/>
  <c r="AQ103" i="2"/>
  <c r="AU106" i="2"/>
  <c r="AH106" i="2"/>
  <c r="AM106" i="2"/>
  <c r="AT106" i="2"/>
  <c r="AR106" i="2"/>
  <c r="AQ106" i="2"/>
  <c r="AO106" i="2"/>
  <c r="AP106" i="2"/>
  <c r="AI106" i="2"/>
  <c r="AJ106" i="2"/>
  <c r="AG106" i="2"/>
  <c r="AK106" i="2"/>
  <c r="AN106" i="2"/>
  <c r="AE106" i="2"/>
  <c r="AB106" i="2"/>
  <c r="AD106" i="2"/>
  <c r="AL106" i="2"/>
  <c r="AC106" i="2"/>
  <c r="AS106" i="2"/>
  <c r="AC101" i="2" l="1"/>
  <c r="AC105" i="2" s="1"/>
  <c r="AM102" i="2"/>
  <c r="AM103" i="2"/>
  <c r="AM101" i="2"/>
  <c r="AG105" i="2"/>
  <c r="AF105" i="2"/>
  <c r="AD105" i="2"/>
  <c r="AE105" i="2"/>
  <c r="AQ105" i="2"/>
  <c r="AL105" i="2"/>
  <c r="AK105" i="2"/>
  <c r="AI103" i="2"/>
  <c r="AB105" i="2"/>
  <c r="AN105" i="2"/>
  <c r="AJ102" i="2"/>
  <c r="AI102" i="2"/>
  <c r="AJ101" i="2"/>
  <c r="AI101" i="2"/>
  <c r="AH105" i="2"/>
  <c r="AF106" i="2"/>
  <c r="AM105" i="2" l="1"/>
  <c r="AI105" i="2"/>
  <c r="AP103" i="2"/>
  <c r="AS103" i="2"/>
  <c r="AJ103" i="2"/>
  <c r="AJ105" i="2" s="1"/>
  <c r="AP102" i="2"/>
  <c r="AS102" i="2"/>
  <c r="AO102" i="2"/>
  <c r="AS101" i="2"/>
  <c r="AO101" i="2"/>
  <c r="AP101" i="2"/>
  <c r="AD4" i="1" l="1"/>
  <c r="AO103" i="2"/>
  <c r="AO105" i="2" s="1"/>
  <c r="AP105" i="2"/>
  <c r="AS105" i="2"/>
  <c r="AR102" i="2" l="1"/>
  <c r="AR103" i="2"/>
  <c r="AD5" i="1" l="1"/>
  <c r="AD6" i="1"/>
  <c r="AT102" i="2"/>
  <c r="AT103" i="2"/>
  <c r="AU101" i="2" l="1"/>
  <c r="AU102" i="2"/>
  <c r="AV101" i="2" l="1"/>
  <c r="AV102" i="2"/>
  <c r="AD7" i="1" l="1"/>
  <c r="AW101" i="2"/>
  <c r="AW102" i="2"/>
  <c r="AX102" i="2"/>
  <c r="AZ102" i="2" l="1"/>
  <c r="AD9" i="1"/>
  <c r="AX101" i="2"/>
  <c r="AY102" i="2"/>
  <c r="BA102" i="2" l="1"/>
  <c r="AD8" i="1"/>
  <c r="AD10" i="1"/>
  <c r="AY101" i="2"/>
  <c r="AD11" i="1" l="1"/>
  <c r="AR101" i="2"/>
  <c r="AR105" i="2" s="1"/>
  <c r="AT101" i="2"/>
  <c r="AT105" i="2"/>
  <c r="AD12" i="1" l="1"/>
  <c r="AU103" i="2" l="1"/>
  <c r="AV103" i="2"/>
  <c r="AD13" i="1" l="1"/>
  <c r="AD14" i="1"/>
  <c r="AW103" i="2"/>
  <c r="AX103" i="2"/>
  <c r="AY103" i="2" l="1"/>
  <c r="AD15" i="1"/>
  <c r="AZ103" i="2" l="1"/>
  <c r="AD17" i="1" l="1"/>
  <c r="BA103" i="2" s="1"/>
  <c r="AD16" i="1"/>
  <c r="AD3" i="1" l="1"/>
  <c r="BA101" i="2"/>
  <c r="AZ101" i="2"/>
  <c r="AU105" i="2"/>
  <c r="AB107" i="2" l="1"/>
  <c r="E20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<sst xmlns="http://schemas.openxmlformats.org/spreadsheetml/2006/main" count="124" uniqueCount="111">
  <si>
    <t>No</t>
  </si>
  <si>
    <t>Nama</t>
  </si>
  <si>
    <t>No Pegawai</t>
  </si>
  <si>
    <t>Tanggal Lahir</t>
  </si>
  <si>
    <t>Umur (Tahun)</t>
  </si>
  <si>
    <t>Status Karyawan</t>
  </si>
  <si>
    <t>Status Pernikahan</t>
  </si>
  <si>
    <t>Jumlah Anak</t>
  </si>
  <si>
    <t>Agama</t>
  </si>
  <si>
    <t>Tanggal Masuk Kerja</t>
  </si>
  <si>
    <t>Lama Bekerja (Dalam Bulan)</t>
  </si>
  <si>
    <t>Jam Kerja</t>
  </si>
  <si>
    <t>Golongan</t>
  </si>
  <si>
    <t>Upah Normal</t>
  </si>
  <si>
    <t>Upah Lembur</t>
  </si>
  <si>
    <t>Tunjangan Anak</t>
  </si>
  <si>
    <t>Tunjangan Status</t>
  </si>
  <si>
    <t>Tunjangan Bonus</t>
  </si>
  <si>
    <t>Tunjangan Lauk Pauk</t>
  </si>
  <si>
    <t>Tunjangan Hari Raya</t>
  </si>
  <si>
    <t>Total Perolehan</t>
  </si>
  <si>
    <t>Iuran Koperasi</t>
  </si>
  <si>
    <t>Total Pendapatan Bersih</t>
  </si>
  <si>
    <t>Total Uang Sesuai Pecahan</t>
  </si>
  <si>
    <t>Andi</t>
  </si>
  <si>
    <t>KC07111992-H12071990-2-KS</t>
  </si>
  <si>
    <t>Roni</t>
  </si>
  <si>
    <t>KT29111996-I05051995-3-KB</t>
  </si>
  <si>
    <t>Dewi</t>
  </si>
  <si>
    <t>JC19091997-N20101995-4-DR</t>
  </si>
  <si>
    <t>Ana</t>
  </si>
  <si>
    <t>JC14091991-B01011980-1-AG</t>
  </si>
  <si>
    <t>Bambang</t>
  </si>
  <si>
    <t>KT15032004-I25072002-5-KB</t>
  </si>
  <si>
    <t>Yogi</t>
  </si>
  <si>
    <t>DL08081990-H14041988-0-AG</t>
  </si>
  <si>
    <t>Danu</t>
  </si>
  <si>
    <t>BC30102005-N08082003-2-KS</t>
  </si>
  <si>
    <t>Saraswati</t>
  </si>
  <si>
    <t>JC08061982-B19051980-3-KB</t>
  </si>
  <si>
    <t>Nurlaela</t>
  </si>
  <si>
    <t>KT11121998-I15081996-4-DR</t>
  </si>
  <si>
    <t>Kanita</t>
  </si>
  <si>
    <t>BC01072003-H30032001-1-AG</t>
  </si>
  <si>
    <t>Anandara</t>
  </si>
  <si>
    <t>KC10071986-N22121984-5-KB</t>
  </si>
  <si>
    <t>Budianto</t>
  </si>
  <si>
    <t>DC28121994-L09101992-0-KS</t>
  </si>
  <si>
    <t>Somantri</t>
  </si>
  <si>
    <t>KL09021999-I31031997-2-DR</t>
  </si>
  <si>
    <t>Atmaja</t>
  </si>
  <si>
    <t>BC11012001-H05041999-3-KB</t>
  </si>
  <si>
    <t>Kosasih</t>
  </si>
  <si>
    <t>DC12091992-N20081990-4-AG</t>
  </si>
  <si>
    <t>KODE SOAL</t>
  </si>
  <si>
    <t>SBEM001</t>
  </si>
  <si>
    <t>KODE JAWABAN</t>
  </si>
  <si>
    <r>
      <t xml:space="preserve">Cek hasil pengerjakan dengan mengirimkan </t>
    </r>
    <r>
      <rPr>
        <b/>
        <sz val="11"/>
        <color theme="1"/>
        <rFont val="Aptos Narrow"/>
        <family val="2"/>
        <scheme val="minor"/>
      </rPr>
      <t>Kode Soal</t>
    </r>
    <r>
      <rPr>
        <sz val="11"/>
        <color theme="1"/>
        <rFont val="Aptos Narrow"/>
        <family val="2"/>
        <scheme val="minor"/>
      </rPr>
      <t xml:space="preserve"> dan </t>
    </r>
    <r>
      <rPr>
        <b/>
        <sz val="11"/>
        <color theme="1"/>
        <rFont val="Aptos Narrow"/>
        <family val="2"/>
        <scheme val="minor"/>
      </rPr>
      <t>Kode Jawaban</t>
    </r>
    <r>
      <rPr>
        <sz val="11"/>
        <color theme="1"/>
        <rFont val="Aptos Narrow"/>
        <family val="2"/>
        <scheme val="minor"/>
      </rPr>
      <t xml:space="preserve"> diatas ke alamat :  </t>
    </r>
    <r>
      <rPr>
        <b/>
        <u/>
        <sz val="11"/>
        <color theme="1"/>
        <rFont val="Aptos Narrow"/>
        <family val="2"/>
        <scheme val="minor"/>
      </rPr>
      <t>https://belajarexcel.id/xl-test/jawaban</t>
    </r>
    <r>
      <rPr>
        <sz val="11"/>
        <color theme="1"/>
        <rFont val="Aptos Narrow"/>
        <family val="2"/>
        <scheme val="minor"/>
      </rPr>
      <t xml:space="preserve">  untuk mengecek hasil benar/salah</t>
    </r>
  </si>
  <si>
    <t>SOAL : Excel</t>
  </si>
  <si>
    <r>
      <t xml:space="preserve">Isi </t>
    </r>
    <r>
      <rPr>
        <b/>
        <sz val="11"/>
        <color theme="1"/>
        <rFont val="Aptos Narrow"/>
        <family val="2"/>
        <scheme val="minor"/>
      </rPr>
      <t>Tanggal Lahir</t>
    </r>
    <r>
      <rPr>
        <sz val="11"/>
        <color theme="1"/>
        <rFont val="Aptos Narrow"/>
        <family val="2"/>
        <scheme val="minor"/>
      </rPr>
      <t xml:space="preserve"> berdasarkan No Pegawai</t>
    </r>
  </si>
  <si>
    <t>Table Bonus</t>
  </si>
  <si>
    <r>
      <t xml:space="preserve">isi </t>
    </r>
    <r>
      <rPr>
        <b/>
        <sz val="11"/>
        <color theme="1"/>
        <rFont val="Aptos Narrow"/>
        <family val="2"/>
        <scheme val="minor"/>
      </rPr>
      <t>Umur</t>
    </r>
    <r>
      <rPr>
        <sz val="11"/>
        <color theme="1"/>
        <rFont val="Aptos Narrow"/>
        <family val="2"/>
        <scheme val="minor"/>
      </rPr>
      <t xml:space="preserve"> berdasarkan Tanggal lahir sampai 4 April 2025</t>
    </r>
  </si>
  <si>
    <t>Table Iuran Koperasi</t>
  </si>
  <si>
    <r>
      <t xml:space="preserve">Isi </t>
    </r>
    <r>
      <rPr>
        <b/>
        <sz val="11"/>
        <color theme="1"/>
        <rFont val="Aptos Narrow"/>
        <family val="2"/>
        <scheme val="minor"/>
      </rPr>
      <t>Status Karyawan</t>
    </r>
    <r>
      <rPr>
        <sz val="11"/>
        <color theme="1"/>
        <rFont val="Aptos Narrow"/>
        <family val="2"/>
        <scheme val="minor"/>
      </rPr>
      <t xml:space="preserve"> berdasarkan No Pegawai</t>
    </r>
  </si>
  <si>
    <t>Bonus</t>
  </si>
  <si>
    <t xml:space="preserve">Golongan </t>
  </si>
  <si>
    <t>Iuran</t>
  </si>
  <si>
    <r>
      <t xml:space="preserve">Isi </t>
    </r>
    <r>
      <rPr>
        <b/>
        <sz val="11"/>
        <color theme="1"/>
        <rFont val="Aptos Narrow"/>
        <family val="2"/>
        <scheme val="minor"/>
      </rPr>
      <t>Status Pernikahan</t>
    </r>
    <r>
      <rPr>
        <sz val="11"/>
        <color theme="1"/>
        <rFont val="Aptos Narrow"/>
        <family val="2"/>
        <scheme val="minor"/>
      </rPr>
      <t xml:space="preserve"> berdasarkan No Pegawai</t>
    </r>
  </si>
  <si>
    <r>
      <t xml:space="preserve">Isi </t>
    </r>
    <r>
      <rPr>
        <b/>
        <sz val="11"/>
        <color theme="1"/>
        <rFont val="Aptos Narrow"/>
        <family val="2"/>
        <scheme val="minor"/>
      </rPr>
      <t>Jumlah Anak</t>
    </r>
    <r>
      <rPr>
        <sz val="11"/>
        <color theme="1"/>
        <rFont val="Aptos Narrow"/>
        <family val="2"/>
        <scheme val="minor"/>
      </rPr>
      <t xml:space="preserve"> berdasarkan No Pegawai</t>
    </r>
  </si>
  <si>
    <t>Table Tunjangan Lauk Pauk</t>
  </si>
  <si>
    <r>
      <t xml:space="preserve">Isi </t>
    </r>
    <r>
      <rPr>
        <b/>
        <sz val="11"/>
        <color theme="1"/>
        <rFont val="Aptos Narrow"/>
        <family val="2"/>
        <scheme val="minor"/>
      </rPr>
      <t>Agama</t>
    </r>
    <r>
      <rPr>
        <sz val="11"/>
        <color theme="1"/>
        <rFont val="Aptos Narrow"/>
        <family val="2"/>
        <scheme val="minor"/>
      </rPr>
      <t xml:space="preserve"> berdasarkan No Pegawai</t>
    </r>
  </si>
  <si>
    <t>Golongan / Jab</t>
  </si>
  <si>
    <t>DR</t>
  </si>
  <si>
    <t>KB</t>
  </si>
  <si>
    <t>KS</t>
  </si>
  <si>
    <t>AG</t>
  </si>
  <si>
    <r>
      <t xml:space="preserve">Isi </t>
    </r>
    <r>
      <rPr>
        <b/>
        <sz val="11"/>
        <color theme="1"/>
        <rFont val="Aptos Narrow"/>
        <family val="2"/>
        <scheme val="minor"/>
      </rPr>
      <t>Tanggal Masuk Kerja</t>
    </r>
    <r>
      <rPr>
        <sz val="11"/>
        <color theme="1"/>
        <rFont val="Aptos Narrow"/>
        <family val="2"/>
        <scheme val="minor"/>
      </rPr>
      <t xml:space="preserve"> berdasarkan No Pegawai</t>
    </r>
  </si>
  <si>
    <r>
      <t xml:space="preserve">isi </t>
    </r>
    <r>
      <rPr>
        <b/>
        <sz val="11"/>
        <color theme="1"/>
        <rFont val="Aptos Narrow"/>
        <family val="2"/>
        <scheme val="minor"/>
      </rPr>
      <t xml:space="preserve">Lama Bekerja </t>
    </r>
    <r>
      <rPr>
        <sz val="11"/>
        <color theme="1"/>
        <rFont val="Aptos Narrow"/>
        <family val="2"/>
        <scheme val="minor"/>
      </rPr>
      <t>berdasarkan Tanggal masuk kerja sampai 4 April 2025 (Dalam bulan)</t>
    </r>
  </si>
  <si>
    <r>
      <rPr>
        <b/>
        <sz val="11"/>
        <color theme="1"/>
        <rFont val="Aptos Narrow"/>
        <family val="2"/>
        <scheme val="minor"/>
      </rPr>
      <t>Golongan</t>
    </r>
    <r>
      <rPr>
        <sz val="11"/>
        <color theme="1"/>
        <rFont val="Aptos Narrow"/>
        <family val="2"/>
        <scheme val="minor"/>
      </rPr>
      <t xml:space="preserve"> ditentukan berdasarkan lama kerja sampai saat ini:</t>
    </r>
  </si>
  <si>
    <t>- Jika masa kerja di atas 432 bulan adalah golongan 4</t>
  </si>
  <si>
    <t>- Jika masa kerja di &gt;=372 bulan dan &lt;=432 bulan adalah golongan 3</t>
  </si>
  <si>
    <t>- Jika masa kerja di &gt;=300 bulan dan &lt;372 bulan adalah golongan 2</t>
  </si>
  <si>
    <t>-selain itu Golongan 1</t>
  </si>
  <si>
    <t>Jam kerja normal per bulan adalah 200 jam</t>
  </si>
  <si>
    <r>
      <rPr>
        <b/>
        <sz val="11"/>
        <color theme="1"/>
        <rFont val="Aptos Narrow"/>
        <family val="2"/>
        <scheme val="minor"/>
      </rPr>
      <t>Upah Normal</t>
    </r>
    <r>
      <rPr>
        <sz val="11"/>
        <color theme="1"/>
        <rFont val="Aptos Narrow"/>
        <family val="2"/>
        <scheme val="minor"/>
      </rPr>
      <t xml:space="preserve"> (jam normal dikalikan tarif jam kerja normal Rp.9.555/jam)</t>
    </r>
  </si>
  <si>
    <r>
      <rPr>
        <b/>
        <sz val="11"/>
        <color theme="1"/>
        <rFont val="Aptos Narrow"/>
        <family val="2"/>
        <scheme val="minor"/>
      </rPr>
      <t>Upah lembur</t>
    </r>
    <r>
      <rPr>
        <sz val="11"/>
        <color theme="1"/>
        <rFont val="Aptos Narrow"/>
        <family val="2"/>
        <scheme val="minor"/>
      </rPr>
      <t xml:space="preserve"> (kelebihan dari jam kerja normal dikalikan dengan tarif lembur Rp.35.555/jam) dengan ketentuan sebagai berikut:</t>
    </r>
  </si>
  <si>
    <t>- 10 Jam pertama adalah 100% dari tarif lembur</t>
  </si>
  <si>
    <t>- kelebihan di atas 10 jam dibayar 110% dari tarif lembur.</t>
  </si>
  <si>
    <r>
      <rPr>
        <b/>
        <sz val="11"/>
        <color theme="1"/>
        <rFont val="Aptos Narrow"/>
        <family val="2"/>
        <scheme val="minor"/>
      </rPr>
      <t>Tunjangan anak</t>
    </r>
    <r>
      <rPr>
        <sz val="11"/>
        <color theme="1"/>
        <rFont val="Aptos Narrow"/>
        <family val="2"/>
        <scheme val="minor"/>
      </rPr>
      <t xml:space="preserve"> 10% dari Upah normal maksimal untuk 3 anak saja, selebihnya dari 3 anak tidak mendapat tunjangan</t>
    </r>
  </si>
  <si>
    <r>
      <rPr>
        <b/>
        <sz val="11"/>
        <color theme="1"/>
        <rFont val="Aptos Narrow"/>
        <family val="2"/>
        <scheme val="minor"/>
      </rPr>
      <t>Tunjangan status</t>
    </r>
    <r>
      <rPr>
        <sz val="11"/>
        <color theme="1"/>
        <rFont val="Aptos Narrow"/>
        <family val="2"/>
        <scheme val="minor"/>
      </rPr>
      <t xml:space="preserve"> 5% dari upah normal untuk Kawin, Duda dan Janda. Sedangkan yang belum kawin tidak mendapat tunjangan status</t>
    </r>
  </si>
  <si>
    <r>
      <rPr>
        <b/>
        <sz val="11"/>
        <color theme="1"/>
        <rFont val="Aptos Narrow"/>
        <family val="2"/>
        <scheme val="minor"/>
      </rPr>
      <t>Tunjangan bonus</t>
    </r>
    <r>
      <rPr>
        <sz val="11"/>
        <color theme="1"/>
        <rFont val="Aptos Narrow"/>
        <family val="2"/>
        <scheme val="minor"/>
      </rPr>
      <t xml:space="preserve"> dihitung prosentase dari dari upah normal (lihat Table Bonus)</t>
    </r>
  </si>
  <si>
    <r>
      <rPr>
        <b/>
        <sz val="11"/>
        <color theme="1"/>
        <rFont val="Aptos Narrow"/>
        <family val="2"/>
        <scheme val="minor"/>
      </rPr>
      <t>Tunjangan lauk pauk</t>
    </r>
    <r>
      <rPr>
        <sz val="11"/>
        <color theme="1"/>
        <rFont val="Aptos Narrow"/>
        <family val="2"/>
        <scheme val="minor"/>
      </rPr>
      <t>, berdasarkan jabatan dan golongan dari upah normal (lihat table Tunjangan Lauk Pauk):</t>
    </r>
  </si>
  <si>
    <r>
      <rPr>
        <b/>
        <sz val="11"/>
        <color theme="1"/>
        <rFont val="Aptos Narrow"/>
        <family val="2"/>
        <scheme val="minor"/>
      </rPr>
      <t>Tunjangan hari raya</t>
    </r>
    <r>
      <rPr>
        <sz val="11"/>
        <color theme="1"/>
        <rFont val="Aptos Narrow"/>
        <family val="2"/>
        <scheme val="minor"/>
      </rPr>
      <t xml:space="preserve"> (THR) diberikan sebagai berikut, dihitung dari upah normal, yang merayakan Idul fitri 10%; Natal 10,2%, dan lainnya 10,3%</t>
    </r>
  </si>
  <si>
    <r>
      <rPr>
        <b/>
        <sz val="11"/>
        <color theme="1"/>
        <rFont val="Aptos Narrow"/>
        <family val="2"/>
        <scheme val="minor"/>
      </rPr>
      <t>Total Perolehan</t>
    </r>
    <r>
      <rPr>
        <sz val="11"/>
        <color theme="1"/>
        <rFont val="Aptos Narrow"/>
        <family val="2"/>
        <scheme val="minor"/>
      </rPr>
      <t>, dijumlahkan seluruh penerimaan dengan pembulatan ke atas ribuan penuh</t>
    </r>
  </si>
  <si>
    <t>Misal : 2.345.352,55 Menjadi 2.346.000,00</t>
  </si>
  <si>
    <r>
      <t xml:space="preserve">Potongan </t>
    </r>
    <r>
      <rPr>
        <b/>
        <sz val="11"/>
        <color theme="1"/>
        <rFont val="Aptos Narrow"/>
        <family val="2"/>
        <scheme val="minor"/>
      </rPr>
      <t>iuran koperasi</t>
    </r>
    <r>
      <rPr>
        <sz val="11"/>
        <color theme="1"/>
        <rFont val="Aptos Narrow"/>
        <family val="2"/>
        <scheme val="minor"/>
      </rPr>
      <t xml:space="preserve"> dihitung dari upah normal berdasarkan Table Koperasi</t>
    </r>
  </si>
  <si>
    <r>
      <t xml:space="preserve">Total </t>
    </r>
    <r>
      <rPr>
        <b/>
        <sz val="11"/>
        <color theme="1"/>
        <rFont val="Aptos Narrow"/>
        <family val="2"/>
        <scheme val="minor"/>
      </rPr>
      <t>Pendapatan bersih</t>
    </r>
    <r>
      <rPr>
        <sz val="11"/>
        <color theme="1"/>
        <rFont val="Aptos Narrow"/>
        <family val="2"/>
        <scheme val="minor"/>
      </rPr>
      <t>, pembulatan ke bawah menjadi ribuan penuh</t>
    </r>
  </si>
  <si>
    <t>Misal : 2.345.352,55 Menjadi 2.345.000,00</t>
  </si>
  <si>
    <t>Berapa lembar Untuk setiap karyawan pecahan uang yang harus disiapkan</t>
  </si>
  <si>
    <t>Arti Kode Pagawai</t>
  </si>
  <si>
    <t>K</t>
  </si>
  <si>
    <t>C</t>
  </si>
  <si>
    <t>-</t>
  </si>
  <si>
    <t>H</t>
  </si>
  <si>
    <t>S</t>
  </si>
  <si>
    <t>DEF</t>
  </si>
  <si>
    <t>Kode jawaban</t>
  </si>
  <si>
    <t>AS2</t>
  </si>
  <si>
    <t>XL-TEST</t>
  </si>
  <si>
    <t>(Automatic Excel Testing) By BelajarExcel.id</t>
  </si>
  <si>
    <t>https://belajarexcel.id/xl-test/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</si>
</sst>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64" formatCode="_(* #,##0.00_);_(* \(#,##0.00\);_(* &quot;-&quot;??_);_(@_)"/>
    <numFmt numFmtId="165" formatCode="_(* #,##0_);_(* \(#,##0\);_(* &quot;-&quot;??_);_(@_)"/>
    <numFmt numFmtId="166" formatCode="0.0%"/>
    <numFmt numFmtId="167" formatCode="&quot;Pecahan &quot;\ 0,000"/>
  </numFmts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5"/>
      <name val="Aptos Narrow"/>
      <family val="2"/>
      <scheme val="minor"/>
    </font>
    <font>
      <b/>
      <sz val="11"/>
      <color theme="5"/>
      <name val="Aptos Narrow"/>
      <family val="2"/>
      <scheme val="minor"/>
    </font>
    <font>
      <b/>
      <sz val="11"/>
      <color rgb="FF0070C0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28"/>
      <color theme="1"/>
      <name val="Aptos Narrow"/>
      <family val="2"/>
      <scheme val="minor"/>
    </font>
    <font>
      <sz val="18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FFC000"/>
      <name val="Aptos Narrow"/>
      <family val="2"/>
      <scheme val="minor"/>
    </font>
    <font>
      <b/>
      <sz val="14"/>
      <color rgb="FF0070C0"/>
      <name val="Aptos Narrow"/>
      <family val="2"/>
      <scheme val="minor"/>
    </font>
    <font>
      <sz val="14"/>
      <color theme="0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0" fontId="11" fillId="0" borderId="0" applyNumberFormat="0" applyFill="0" applyBorder="0" applyAlignment="0" applyProtection="0"/>
    <xf numFmtId="41" fontId="3" fillId="0" borderId="0" applyFont="0" applyFill="0" applyBorder="0" applyAlignment="0" applyProtection="0"/>
  </cellStyleXfs>
  <cellXfs count="45">
    <xf numFmtId="0" fontId="0" fillId="0" borderId="0" xfId="0"/>
    <xf numFmtId="0" fontId="1" fillId="0" borderId="0" xfId="0" applyFont="1"/>
    <xf numFmtId="0" fontId="4" fillId="0" borderId="0" xfId="0" applyFont="1" applyAlignment="1">
      <alignment horizontal="center"/>
    </xf>
    <xf numFmtId="0" fontId="5" fillId="0" borderId="0" xfId="0" applyFont="1" applyAlignment="1">
      <alignment vertical="top"/>
    </xf>
    <xf numFmtId="0" fontId="6" fillId="0" borderId="0" xfId="0" applyFont="1"/>
    <xf numFmtId="165" fontId="6" fillId="0" borderId="0" xfId="1" applyNumberFormat="1" applyFont="1"/>
    <xf numFmtId="0" fontId="7" fillId="2" borderId="0" xfId="0" applyFont="1" applyFill="1" applyAlignment="1">
      <alignment horizontal="center"/>
    </xf>
    <xf numFmtId="14" fontId="0" fillId="0" borderId="0" xfId="0" applyNumberFormat="1"/>
    <xf numFmtId="0" fontId="9" fillId="0" borderId="0" xfId="0" applyFont="1"/>
    <xf numFmtId="0" fontId="10" fillId="0" borderId="0" xfId="0" applyFont="1"/>
    <xf numFmtId="0" fontId="11" fillId="0" borderId="0" xfId="2"/>
    <xf numFmtId="0" fontId="0" fillId="2" borderId="1" xfId="0" applyFill="1" applyBorder="1" applyAlignment="1">
      <alignment horizontal="center" vertical="center" wrapText="1"/>
    </xf>
    <xf numFmtId="167" fontId="0" fillId="5" borderId="2" xfId="0" applyNumberForma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indent="1"/>
    </xf>
    <xf numFmtId="0" fontId="0" fillId="3" borderId="1" xfId="0" applyFill="1" applyBorder="1"/>
    <xf numFmtId="0" fontId="0" fillId="3" borderId="1" xfId="0" applyFill="1" applyBorder="1" applyAlignment="1">
      <alignment horizontal="left" indent="2"/>
    </xf>
    <xf numFmtId="14" fontId="0" fillId="3" borderId="1" xfId="0" applyNumberFormat="1" applyFill="1" applyBorder="1"/>
    <xf numFmtId="1" fontId="0" fillId="3" borderId="1" xfId="0" applyNumberFormat="1" applyFill="1" applyBorder="1"/>
    <xf numFmtId="1" fontId="0" fillId="7" borderId="1" xfId="0" applyNumberFormat="1" applyFill="1" applyBorder="1" applyAlignment="1">
      <alignment horizontal="center"/>
    </xf>
    <xf numFmtId="164" fontId="0" fillId="3" borderId="1" xfId="0" applyNumberFormat="1" applyFill="1" applyBorder="1"/>
    <xf numFmtId="165" fontId="0" fillId="3" borderId="1" xfId="0" applyNumberFormat="1" applyFill="1" applyBorder="1"/>
    <xf numFmtId="1" fontId="0" fillId="6" borderId="1" xfId="0" applyNumberFormat="1" applyFill="1" applyBorder="1" applyAlignment="1">
      <alignment horizontal="center"/>
    </xf>
    <xf numFmtId="164" fontId="0" fillId="9" borderId="1" xfId="0" applyNumberFormat="1" applyFill="1" applyBorder="1"/>
    <xf numFmtId="0" fontId="0" fillId="4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0" fillId="5" borderId="3" xfId="0" applyFill="1" applyBorder="1"/>
    <xf numFmtId="0" fontId="0" fillId="10" borderId="3" xfId="0" applyFill="1" applyBorder="1" applyAlignment="1">
      <alignment horizontal="center"/>
    </xf>
    <xf numFmtId="9" fontId="0" fillId="6" borderId="3" xfId="0" applyNumberFormat="1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166" fontId="0" fillId="6" borderId="3" xfId="0" applyNumberFormat="1" applyFill="1" applyBorder="1" applyAlignment="1">
      <alignment horizontal="center"/>
    </xf>
    <xf numFmtId="0" fontId="0" fillId="0" borderId="0" xfId="0" applyAlignment="1">
      <alignment vertical="center"/>
    </xf>
    <xf numFmtId="0" fontId="0" fillId="0" borderId="0" xfId="0" quotePrefix="1" applyAlignment="1">
      <alignment vertical="top"/>
    </xf>
    <xf numFmtId="0" fontId="12" fillId="0" borderId="0" xfId="0" applyFont="1"/>
    <xf numFmtId="41" fontId="0" fillId="3" borderId="1" xfId="3" applyFont="1" applyFill="1" applyBorder="1"/>
    <xf numFmtId="0" fontId="0" fillId="0" borderId="0" xfId="0" applyAlignment="1">
      <alignment wrapText="1"/>
    </xf>
    <xf numFmtId="0" fontId="14" fillId="11" borderId="0" xfId="0" applyFont="1" applyFill="1" applyAlignment="1">
      <alignment horizontal="center" vertical="center"/>
    </xf>
    <xf numFmtId="0" fontId="13" fillId="10" borderId="0" xfId="0" applyFont="1" applyFill="1" applyAlignment="1">
      <alignment horizontal="left" indent="2"/>
    </xf>
    <xf numFmtId="0" fontId="0" fillId="10" borderId="0" xfId="0" applyFill="1"/>
    <xf numFmtId="0" fontId="0" fillId="3" borderId="1" xfId="0" applyFill="1" applyBorder="1" applyAlignment="1">
      <alignment wrapText="1"/>
    </xf>
    <xf numFmtId="41" fontId="0" fillId="3" borderId="1" xfId="3" applyFont="1" applyFill="1" applyBorder="1" applyAlignment="1">
      <alignment wrapText="1"/>
    </xf>
    <xf numFmtId="1" fontId="0" fillId="6" borderId="1" xfId="0" applyNumberFormat="1" applyFill="1" applyBorder="1" applyAlignment="1">
      <alignment horizontal="center" wrapText="1"/>
    </xf>
    <xf numFmtId="0" fontId="6" fillId="0" borderId="4" xfId="0" applyFont="1" applyBorder="1" applyAlignment="1">
      <alignment horizontal="center"/>
    </xf>
  </cellXfs>
  <cellStyles count="4">
    <cellStyle name="Comma" xfId="1" builtinId="3"/>
    <cellStyle name="Comma [0]" xfId="3" builtinId="6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s://belajarexcel.id/xl-test/jawaban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930898</xdr:colOff>
      <xdr:row>26</xdr:row>
      <xdr:rowOff>5663</xdr:rowOff>
    </xdr:from>
    <xdr:to>
      <xdr:col>6</xdr:col>
      <xdr:colOff>385832</xdr:colOff>
      <xdr:row>28</xdr:row>
      <xdr:rowOff>172185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AEB4AF-4D8E-43C0-92B6-9FEA4BF600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09283" y="5654250"/>
          <a:ext cx="1505693" cy="530045"/>
        </a:xfrm>
        <a:prstGeom prst="rect">
          <a:avLst/>
        </a:prstGeom>
      </xdr:spPr>
    </xdr:pic>
    <xdr:clientData/>
  </xdr:twoCellAnchor>
  <xdr:twoCellAnchor>
    <xdr:from>
      <xdr:col>1</xdr:col>
      <xdr:colOff>30480</xdr:colOff>
      <xdr:row>22</xdr:row>
      <xdr:rowOff>60960</xdr:rowOff>
    </xdr:from>
    <xdr:to>
      <xdr:col>2</xdr:col>
      <xdr:colOff>708660</xdr:colOff>
      <xdr:row>23</xdr:row>
      <xdr:rowOff>137160</xdr:rowOff>
    </xdr:to>
    <xdr:sp macro="" textlink="">
      <xdr:nvSpPr>
        <xdr:cNvPr id="3" name="Rectangle: Rounded Corners 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CA4BD06D-4951-4964-8B94-839AD7CF7922}"/>
            </a:ext>
          </a:extLst>
        </xdr:cNvPr>
        <xdr:cNvSpPr/>
      </xdr:nvSpPr>
      <xdr:spPr>
        <a:xfrm>
          <a:off x="304800" y="5113020"/>
          <a:ext cx="1501140" cy="259080"/>
        </a:xfrm>
        <a:prstGeom prst="roundRect">
          <a:avLst/>
        </a:prstGeom>
      </xdr:spPr>
      <xdr:style>
        <a:lnRef idx="2">
          <a:schemeClr val="accent5"/>
        </a:lnRef>
        <a:fillRef idx="1">
          <a:schemeClr val="lt1"/>
        </a:fillRef>
        <a:effectRef idx="0">
          <a:schemeClr val="accent5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n-ID" sz="1100"/>
            <a:t>Cek hasil Jawaban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243840</xdr:colOff>
      <xdr:row>0</xdr:row>
      <xdr:rowOff>53340</xdr:rowOff>
    </xdr:from>
    <xdr:to>
      <xdr:col>26</xdr:col>
      <xdr:colOff>22860</xdr:colOff>
      <xdr:row>2</xdr:row>
      <xdr:rowOff>68447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7C782E-D3FD-4737-8470-5BB660528F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35040" y="53340"/>
          <a:ext cx="1074420" cy="380867"/>
        </a:xfrm>
        <a:prstGeom prst="rect">
          <a:avLst/>
        </a:prstGeom>
      </xdr:spPr>
    </xdr:pic>
    <xdr:clientData/>
  </xdr:twoCellAnchor>
  <xdr:twoCellAnchor editAs="oneCell">
    <xdr:from>
      <xdr:col>0</xdr:col>
      <xdr:colOff>525780</xdr:colOff>
      <xdr:row>7</xdr:row>
      <xdr:rowOff>175260</xdr:rowOff>
    </xdr:from>
    <xdr:to>
      <xdr:col>27</xdr:col>
      <xdr:colOff>53340</xdr:colOff>
      <xdr:row>24</xdr:row>
      <xdr:rowOff>42218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D9BA750-7C65-6398-B46A-6918A96C0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1600200"/>
          <a:ext cx="7772400" cy="297591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21</xdr:col>
      <xdr:colOff>243840</xdr:colOff>
      <xdr:row>0</xdr:row>
      <xdr:rowOff>53340</xdr:rowOff>
    </xdr:from>
    <xdr:to>
      <xdr:col>26</xdr:col>
      <xdr:colOff>22860</xdr:colOff>
      <xdr:row>2</xdr:row>
      <xdr:rowOff>68447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3CE3C6-935B-42F8-9186-90769A1BF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83680" y="53340"/>
          <a:ext cx="1074420" cy="380867"/>
        </a:xfrm>
        <a:prstGeom prst="rect">
          <a:avLst/>
        </a:prstGeom>
      </xdr:spPr>
    </xdr:pic>
    <xdr:clientData/>
  </xdr:twoCellAnchor>
  <xdr:twoCellAnchor editAs="oneCell">
    <xdr:from>
      <xdr:col>0</xdr:col>
      <xdr:colOff>525780</xdr:colOff>
      <xdr:row>7</xdr:row>
      <xdr:rowOff>175260</xdr:rowOff>
    </xdr:from>
    <xdr:to>
      <xdr:col>27</xdr:col>
      <xdr:colOff>601980</xdr:colOff>
      <xdr:row>24</xdr:row>
      <xdr:rowOff>42218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F0964D-13DF-420E-BA34-2A7E506A84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1600200"/>
          <a:ext cx="7772400" cy="297591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175260</xdr:colOff>
      <xdr:row>0</xdr:row>
      <xdr:rowOff>137160</xdr:rowOff>
    </xdr:from>
    <xdr:to>
      <xdr:col>7</xdr:col>
      <xdr:colOff>480060</xdr:colOff>
      <xdr:row>36</xdr:row>
      <xdr:rowOff>15240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F7BD8C-667B-46EE-A951-E16F0AF40B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260" y="137160"/>
          <a:ext cx="4572000" cy="6858000"/>
        </a:xfrm>
        <a:prstGeom prst="rect">
          <a:avLst/>
        </a:prstGeom>
      </xdr:spPr>
    </xdr:pic>
    <xdr:clientData/>
  </xdr:twoCellAnchor>
  <xdr:twoCellAnchor editAs="oneCell">
    <xdr:from>
      <xdr:col>8</xdr:col>
      <xdr:colOff>525780</xdr:colOff>
      <xdr:row>7</xdr:row>
      <xdr:rowOff>68580</xdr:rowOff>
    </xdr:from>
    <xdr:to>
      <xdr:col>11</xdr:col>
      <xdr:colOff>201694</xdr:colOff>
      <xdr:row>10</xdr:row>
      <xdr:rowOff>53340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C3511FD-C2C3-4F4F-B9B8-02968FCEE7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02580" y="1744980"/>
          <a:ext cx="1504714" cy="533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hyperlink" Target="https://belajarexcel.id/xl-te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4A9C3-4047-4A3B-A6B4-7E39E2E9F1B1}">
  <sheetPr codeName="Sheet1"/>
  <dimension ref="A1:AD56"/>
  <sheetViews>
    <sheetView tabSelected="1" topLeftCell="A19" zoomScaleNormal="100" workbookViewId="0">
      <selection activeCell="E20" sqref="E20"/>
    </sheetView>
  </sheetViews>
  <sheetFormatPr defaultRowHeight="15" x14ac:dyDescent="0.25"/>
  <cols>
    <col min="1" max="1" width="4" bestFit="1" customWidth="1"/>
    <col min="2" max="2" width="14.28515625" customWidth="1"/>
    <col min="3" max="3" width="29.28515625" customWidth="1"/>
    <col min="4" max="4" width="18.85546875" customWidth="1"/>
    <col min="5" max="5" width="14" customWidth="1"/>
    <col min="6" max="6" width="16" customWidth="1"/>
    <col min="7" max="7" width="13" customWidth="1"/>
    <col min="8" max="8" width="12.7109375" bestFit="1" customWidth="1"/>
    <col min="9" max="9" width="12.28515625" customWidth="1"/>
    <col min="10" max="10" width="11.7109375" customWidth="1"/>
    <col min="11" max="11" width="14.42578125" customWidth="1"/>
    <col min="12" max="13" width="8.7109375" bestFit="1" customWidth="1"/>
    <col min="14" max="14" width="13" customWidth="1"/>
    <col min="15" max="18" width="10.7109375" customWidth="1"/>
    <col min="19" max="19" width="13.42578125" customWidth="1"/>
    <col min="20" max="20" width="13.140625" bestFit="1" customWidth="1"/>
    <col min="21" max="21" width="10.28515625" bestFit="1" customWidth="1"/>
    <col min="22" max="22" width="10.28515625" customWidth="1"/>
    <col min="23" max="23" width="15.42578125" bestFit="1" customWidth="1"/>
    <col min="24" max="24" width="16.7109375" customWidth="1"/>
    <col min="25" max="25" width="14.85546875" customWidth="1"/>
    <col min="26" max="27" width="19.85546875" bestFit="1" customWidth="1"/>
    <col min="28" max="28" width="14" customWidth="1"/>
    <col min="29" max="29" width="18.85546875" bestFit="1" customWidth="1"/>
    <col min="30" max="30" width="14.7109375" customWidth="1"/>
  </cols>
  <sheetData>
    <row r="1" spans="1:30" x14ac:dyDescent="0.25">
      <c r="D1" s="35">
        <v>1</v>
      </c>
      <c r="E1" s="35">
        <v>2</v>
      </c>
      <c r="F1" s="35">
        <v>3</v>
      </c>
      <c r="G1" s="35">
        <v>4</v>
      </c>
      <c r="H1" s="35">
        <v>5</v>
      </c>
      <c r="I1" s="35">
        <v>6</v>
      </c>
      <c r="J1" s="35">
        <v>7</v>
      </c>
      <c r="K1" s="35">
        <v>8</v>
      </c>
      <c r="M1" s="35">
        <v>9</v>
      </c>
      <c r="N1" s="35">
        <v>10</v>
      </c>
      <c r="O1" s="35">
        <v>11</v>
      </c>
      <c r="P1" s="35">
        <v>12</v>
      </c>
      <c r="Q1" s="35">
        <v>13</v>
      </c>
      <c r="R1" s="35">
        <v>14</v>
      </c>
      <c r="S1" s="35">
        <v>15</v>
      </c>
      <c r="T1" s="35">
        <v>16</v>
      </c>
      <c r="U1" s="35">
        <v>17</v>
      </c>
      <c r="V1" s="35">
        <v>18</v>
      </c>
      <c r="W1" s="35">
        <v>19</v>
      </c>
      <c r="X1" s="5"/>
      <c r="Y1" s="5"/>
      <c r="Z1" s="5"/>
      <c r="AA1" s="5"/>
      <c r="AB1" s="5"/>
      <c r="AC1" s="5"/>
    </row>
    <row r="2" spans="1:30" s="37" customFormat="1" ht="37.5" customHeight="1" x14ac:dyDescent="0.25">
      <c r="A2" s="11" t="s">
        <v>0</v>
      </c>
      <c r="B2" s="11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K2" s="11" t="s">
        <v>10</v>
      </c>
      <c r="L2" s="11" t="s">
        <v>11</v>
      </c>
      <c r="M2" s="11" t="s">
        <v>12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1" t="s">
        <v>22</v>
      </c>
      <c r="X2" s="12">
        <v>100000</v>
      </c>
      <c r="Y2" s="12">
        <v>50000</v>
      </c>
      <c r="Z2" s="12">
        <v>20000</v>
      </c>
      <c r="AA2" s="12">
        <v>10000</v>
      </c>
      <c r="AB2" s="12">
        <v>5000</v>
      </c>
      <c r="AC2" s="12">
        <v>1000</v>
      </c>
      <c r="AD2" s="13" t="s">
        <v>23</v>
      </c>
    </row>
    <row r="3" spans="1:30" ht="18" customHeight="1" x14ac:dyDescent="0.25">
      <c r="A3" s="14">
        <v>1</v>
      </c>
      <c r="B3" s="15" t="s">
        <v>24</v>
      </c>
      <c r="C3" s="16" t="s">
        <v>25</v>
      </c>
      <c r="D3" s="17">
        <f>DATE(MID(Soal!C3,17,4),MID(Soal!C3,15,2),MID(Soal!C3,13,2))</f>
        <v>33066</v>
      </c>
      <c r="E3" s="18">
        <f>DATEDIF(D3,"04/04/2025","Y")</f>
        <v>34</v>
      </c>
      <c r="F3" s="41" t="str">
        <f>IF(MID(C3,2,1)="C","Kontrak",IF(MID(Soal!C3,2,1)="T","Tetap","Lepas"))</f>
        <v>Kontrak</v>
      </c>
      <c r="G3" s="15" t="str">
        <f>IF(LEFT(C3,1)="K","Kawin",IF(LEFT(C3,1)="B","Belum Kawin",IF(LEFT(C3,1)="D","Duda","Janda")))</f>
        <v>Kawin</v>
      </c>
      <c r="H3" s="15">
        <f>VALUE(MID(C3,22,1))</f>
        <v>2</v>
      </c>
      <c r="I3" s="41" t="str">
        <f>IF(MID(C3,12,1)="H","Hindu",IF(MID(C3,12,1)="I","Islam",IF(MID(C3,12,1)="N","Nasrani",IF(MID(C3,12,1)="B","Budha","Lainnya"))))</f>
        <v>Hindu</v>
      </c>
      <c r="J3" s="17">
        <f>DATE(MID(Soal!C3,7,4),MID(Soal!C3,5,2),MID(Soal!C3,3,2))</f>
        <v>33915</v>
      </c>
      <c r="K3" s="15">
        <f>DATEDIF(J3,"04/04/2025","M")</f>
        <v>388</v>
      </c>
      <c r="L3" s="19">
        <v>209</v>
      </c>
      <c r="M3" s="15">
        <f>IF(K3&gt;432,4,IF(K3&gt;=372,3,IF(K3&gt;=300,2,1)))</f>
        <v>3</v>
      </c>
      <c r="N3" s="36">
        <f>MIN(L3,200)*9555</f>
        <v>1911000</v>
      </c>
      <c r="O3" s="42">
        <f>IF(L3&lt;=200,0,IF((L3-200)&lt;=10,(L3-200)*35555,(10*35555)+((L3-210)*35555*110%)))</f>
        <v>319995</v>
      </c>
      <c r="P3" s="36">
        <f>MIN(3,H3)*(10%*N3)</f>
        <v>382200</v>
      </c>
      <c r="Q3" s="36">
        <f>IF(G3="Belum Kawin",0,5%*N3)</f>
        <v>95550</v>
      </c>
      <c r="R3" s="36">
        <f>HLOOKUP(M3,$I$28:$L$29,2,FALSE)*N3</f>
        <v>171990</v>
      </c>
      <c r="S3" s="42" cm="1">
        <f t="array" ref="S3">_xlfn.XLOOKUP(M3,$H$33:$H$36,_xlfn.XLOOKUP(RIGHT(C3,2),$I$32:$L$32,$I$33:$L$36))*N3</f>
        <v>191100</v>
      </c>
      <c r="T3" s="36">
        <f>IF(I3="Islam",10%,IF(I3="Nasrani",10.2%,10.3%))*N3</f>
        <v>196833.00000000003</v>
      </c>
      <c r="U3" s="21">
        <f>ROUNDUP(SUM(N3:T3)/1000,0)*1000</f>
        <v>3269000</v>
      </c>
      <c r="V3" s="36">
        <f>VLOOKUP(M3,$N$29:$O$33,2,0)*N3</f>
        <v>76440</v>
      </c>
      <c r="W3" s="20">
        <f>ROUNDDOWN((U3-V3)/1000,0)*1000</f>
        <v>3192000</v>
      </c>
      <c r="X3" s="22">
        <f>QUOTIENT(W3,$X$2)</f>
        <v>31</v>
      </c>
      <c r="Y3" s="43">
        <f>QUOTIENT(W3-SUMPRODUCT(X3,$X$2),$Y$2)</f>
        <v>1</v>
      </c>
      <c r="Z3" s="22">
        <f>QUOTIENT(W3-SUMPRODUCT(X3:Y3,$X$2:$Y$2),$Z$2)</f>
        <v>2</v>
      </c>
      <c r="AA3" s="43">
        <f>QUOTIENT(W3-SUMPRODUCT(X3:Z3,$X$2:$Z$2),$AA$2)</f>
        <v>0</v>
      </c>
      <c r="AB3" s="22">
        <f>QUOTIENT(W3-SUMPRODUCT(X3:AA3,$X$2:$AA$2),$AB$2)</f>
        <v>0</v>
      </c>
      <c r="AC3" s="22">
        <f>QUOTIENT(W3-SUMPRODUCT(X3:AB3,$X$2:$AB$2),$AC$2)</f>
        <v>2</v>
      </c>
      <c r="AD3" s="23">
        <f t="shared" ref="AD3:AD17" si="0">SUMPRODUCT(X3:AC3,$X$2:$AC$2)</f>
        <v>3192000</v>
      </c>
    </row>
    <row r="4" spans="1:30" ht="18" customHeight="1" x14ac:dyDescent="0.25">
      <c r="A4" s="14">
        <v>2</v>
      </c>
      <c r="B4" s="15" t="s">
        <v>26</v>
      </c>
      <c r="C4" s="16" t="s">
        <v>27</v>
      </c>
      <c r="D4" s="17">
        <f>DATE(MID(Soal!C4,17,4),MID(Soal!C4,15,2),MID(Soal!C4,13,2))</f>
        <v>34824</v>
      </c>
      <c r="E4" s="18">
        <f t="shared" ref="E4:E17" si="1">DATEDIF(D4,"04/04/2025","Y")</f>
        <v>29</v>
      </c>
      <c r="F4" s="41" t="str">
        <f>IF(MID(C4,2,1)="C","Kontrak",IF(MID(Soal!C4,2,1)="T","Tetap","Lepas"))</f>
        <v>Tetap</v>
      </c>
      <c r="G4" s="15" t="str">
        <f t="shared" ref="G4:G17" si="2">IF(LEFT(C4,1)="K","Kawin",IF(LEFT(C4,1)="B","Belum Kawin",IF(LEFT(C4,1)="D","Duda","Janda")))</f>
        <v>Kawin</v>
      </c>
      <c r="H4" s="15">
        <f t="shared" ref="H4:H17" si="3">VALUE(MID(C4,22,1))</f>
        <v>3</v>
      </c>
      <c r="I4" s="41" t="str">
        <f t="shared" ref="I4:I17" si="4">IF(MID(C4,12,1)="H","Hindu",IF(MID(C4,12,1)="I","Islam",IF(MID(C4,12,1)="N","Nasrani",IF(MID(C4,12,1)="B","Budha","Lainnya"))))</f>
        <v>Islam</v>
      </c>
      <c r="J4" s="17">
        <f>DATE(MID(Soal!C4,7,4),MID(Soal!C4,5,2),MID(Soal!C4,3,2))</f>
        <v>35398</v>
      </c>
      <c r="K4" s="15">
        <f t="shared" ref="K4:K17" si="5">DATEDIF(J4,"04/04/2025","M")</f>
        <v>340</v>
      </c>
      <c r="L4" s="19">
        <v>111</v>
      </c>
      <c r="M4" s="15">
        <f t="shared" ref="M4:M17" si="6">IF(K4&gt;432,4,IF(K4&gt;=372,3,IF(K4&gt;=300,2,1)))</f>
        <v>2</v>
      </c>
      <c r="N4" s="36">
        <f t="shared" ref="N4:N17" si="7">MIN(L4,200)*9555</f>
        <v>1060605</v>
      </c>
      <c r="O4" s="42">
        <f t="shared" ref="O4:O17" si="8">IF(L4&lt;=200,0,IF((L4-200)&lt;=10,(L4-200)*35555,(10*35555)+((L4-200-10)*35555*110%)))</f>
        <v>0</v>
      </c>
      <c r="P4" s="36">
        <f t="shared" ref="P4:P17" si="9">MIN(3,H4)*(10%*N4)</f>
        <v>318181.5</v>
      </c>
      <c r="Q4" s="36">
        <f t="shared" ref="Q4:Q17" si="10">IF(G4="Belum Kawin",0,5%*N4)</f>
        <v>53030.25</v>
      </c>
      <c r="R4" s="36">
        <f t="shared" ref="R4:R17" si="11">HLOOKUP(M4,$I$28:$L$29,2,FALSE)*N4</f>
        <v>84848.400000000009</v>
      </c>
      <c r="S4" s="42" cm="1">
        <f t="array" ref="S4">_xlfn.XLOOKUP(M4,$H$33:$H$36,_xlfn.XLOOKUP(RIGHT(C4,2),$I$32:$L$32,$I$33:$L$36))*N4</f>
        <v>79545.375</v>
      </c>
      <c r="T4" s="36">
        <f t="shared" ref="T4:T17" si="12">IF(I4="Islam",10%,IF(I4="Nasrani",10.2%,10.3%))*N4</f>
        <v>106060.5</v>
      </c>
      <c r="U4" s="21">
        <f t="shared" ref="U4:U17" si="13">ROUNDUP(SUM(N4:T4)/1000,0)*1000</f>
        <v>1703000</v>
      </c>
      <c r="V4" s="36">
        <f t="shared" ref="V4:V17" si="14">VLOOKUP(M4,$N$29:$O$33,2,0)*N4</f>
        <v>31818.149999999998</v>
      </c>
      <c r="W4" s="20">
        <f t="shared" ref="W4:W17" si="15">ROUNDDOWN((U4-V4)/1000,0)*1000</f>
        <v>1671000</v>
      </c>
      <c r="X4" s="22">
        <f t="shared" ref="X4:X17" si="16">QUOTIENT(W4,$X$2)</f>
        <v>16</v>
      </c>
      <c r="Y4" s="43">
        <f t="shared" ref="Y4:Y17" si="17">QUOTIENT(W4-SUMPRODUCT(X4,$X$2),$Y$2)</f>
        <v>1</v>
      </c>
      <c r="Z4" s="22">
        <f t="shared" ref="Z4:Z17" si="18">QUOTIENT(W4-SUMPRODUCT(X4:Y4,$X$2:$Y$2),$Z$2)</f>
        <v>1</v>
      </c>
      <c r="AA4" s="43">
        <f t="shared" ref="AA4:AA17" si="19">QUOTIENT(W4-SUMPRODUCT(X4:Z4,$X$2:$Z$2),$AA$2)</f>
        <v>0</v>
      </c>
      <c r="AB4" s="22">
        <f t="shared" ref="AB4:AB17" si="20">QUOTIENT(W4-SUMPRODUCT(X4:AA4,$X$2:$AA$2),$AB$2)</f>
        <v>0</v>
      </c>
      <c r="AC4" s="22">
        <f t="shared" ref="AC4:AC17" si="21">QUOTIENT(W4-SUMPRODUCT(X4:AB4,$X$2:$AB$2),$AC$2)</f>
        <v>1</v>
      </c>
      <c r="AD4" s="23">
        <f t="shared" si="0"/>
        <v>1671000</v>
      </c>
    </row>
    <row r="5" spans="1:30" ht="18" customHeight="1" x14ac:dyDescent="0.25">
      <c r="A5" s="14">
        <v>3</v>
      </c>
      <c r="B5" s="15" t="s">
        <v>28</v>
      </c>
      <c r="C5" s="16" t="s">
        <v>29</v>
      </c>
      <c r="D5" s="17">
        <f>DATE(MID(Soal!C5,17,4),MID(Soal!C5,15,2),MID(Soal!C5,13,2))</f>
        <v>34992</v>
      </c>
      <c r="E5" s="18">
        <f t="shared" si="1"/>
        <v>29</v>
      </c>
      <c r="F5" s="41" t="str">
        <f>IF(MID(C5,2,1)="C","Kontrak",IF(MID(Soal!C5,2,1)="T","Tetap","Lepas"))</f>
        <v>Kontrak</v>
      </c>
      <c r="G5" s="15" t="str">
        <f t="shared" si="2"/>
        <v>Janda</v>
      </c>
      <c r="H5" s="15">
        <f t="shared" si="3"/>
        <v>4</v>
      </c>
      <c r="I5" s="41" t="str">
        <f t="shared" si="4"/>
        <v>Nasrani</v>
      </c>
      <c r="J5" s="17">
        <f>DATE(MID(Soal!C5,7,4),MID(Soal!C5,5,2),MID(Soal!C5,3,2))</f>
        <v>35692</v>
      </c>
      <c r="K5" s="15">
        <f t="shared" si="5"/>
        <v>330</v>
      </c>
      <c r="L5" s="19">
        <v>129</v>
      </c>
      <c r="M5" s="15">
        <f t="shared" si="6"/>
        <v>2</v>
      </c>
      <c r="N5" s="36">
        <f t="shared" si="7"/>
        <v>1232595</v>
      </c>
      <c r="O5" s="42">
        <f t="shared" si="8"/>
        <v>0</v>
      </c>
      <c r="P5" s="36">
        <f t="shared" si="9"/>
        <v>369778.5</v>
      </c>
      <c r="Q5" s="36">
        <f t="shared" si="10"/>
        <v>61629.75</v>
      </c>
      <c r="R5" s="36">
        <f t="shared" si="11"/>
        <v>98607.6</v>
      </c>
      <c r="S5" s="42" cm="1">
        <f t="array" ref="S5">_xlfn.XLOOKUP(M5,$H$33:$H$36,_xlfn.XLOOKUP(RIGHT(C5,2),$I$32:$L$32,$I$33:$L$36))*N5</f>
        <v>86281.650000000009</v>
      </c>
      <c r="T5" s="36">
        <f t="shared" si="12"/>
        <v>125724.68999999999</v>
      </c>
      <c r="U5" s="21">
        <f t="shared" si="13"/>
        <v>1975000</v>
      </c>
      <c r="V5" s="36">
        <f t="shared" si="14"/>
        <v>36977.85</v>
      </c>
      <c r="W5" s="20">
        <f t="shared" si="15"/>
        <v>1938000</v>
      </c>
      <c r="X5" s="22">
        <f t="shared" si="16"/>
        <v>19</v>
      </c>
      <c r="Y5" s="43">
        <f t="shared" si="17"/>
        <v>0</v>
      </c>
      <c r="Z5" s="22">
        <f t="shared" si="18"/>
        <v>1</v>
      </c>
      <c r="AA5" s="43">
        <f t="shared" si="19"/>
        <v>1</v>
      </c>
      <c r="AB5" s="22">
        <f t="shared" si="20"/>
        <v>1</v>
      </c>
      <c r="AC5" s="22">
        <f t="shared" si="21"/>
        <v>3</v>
      </c>
      <c r="AD5" s="23">
        <f t="shared" si="0"/>
        <v>1938000</v>
      </c>
    </row>
    <row r="6" spans="1:30" ht="18" customHeight="1" x14ac:dyDescent="0.25">
      <c r="A6" s="14">
        <v>4</v>
      </c>
      <c r="B6" s="15" t="s">
        <v>30</v>
      </c>
      <c r="C6" s="16" t="s">
        <v>31</v>
      </c>
      <c r="D6" s="17">
        <f>DATE(MID(Soal!C6,17,4),MID(Soal!C6,15,2),MID(Soal!C6,13,2))</f>
        <v>29221</v>
      </c>
      <c r="E6" s="18">
        <f t="shared" si="1"/>
        <v>45</v>
      </c>
      <c r="F6" s="41" t="str">
        <f>IF(MID(C6,2,1)="C","Kontrak",IF(MID(Soal!C6,2,1)="T","Tetap","Lepas"))</f>
        <v>Kontrak</v>
      </c>
      <c r="G6" s="15" t="str">
        <f t="shared" si="2"/>
        <v>Janda</v>
      </c>
      <c r="H6" s="15">
        <f t="shared" si="3"/>
        <v>1</v>
      </c>
      <c r="I6" s="41" t="str">
        <f t="shared" si="4"/>
        <v>Budha</v>
      </c>
      <c r="J6" s="17">
        <f>DATE(MID(Soal!C6,7,4),MID(Soal!C6,5,2),MID(Soal!C6,3,2))</f>
        <v>33495</v>
      </c>
      <c r="K6" s="15">
        <f t="shared" si="5"/>
        <v>402</v>
      </c>
      <c r="L6" s="19">
        <v>227</v>
      </c>
      <c r="M6" s="15">
        <f t="shared" si="6"/>
        <v>3</v>
      </c>
      <c r="N6" s="36">
        <f t="shared" si="7"/>
        <v>1911000</v>
      </c>
      <c r="O6" s="42">
        <f t="shared" si="8"/>
        <v>1020428.5</v>
      </c>
      <c r="P6" s="36">
        <f t="shared" si="9"/>
        <v>191100</v>
      </c>
      <c r="Q6" s="36">
        <f t="shared" si="10"/>
        <v>95550</v>
      </c>
      <c r="R6" s="36">
        <f t="shared" si="11"/>
        <v>171990</v>
      </c>
      <c r="S6" s="42" cm="1">
        <f t="array" ref="S6">_xlfn.XLOOKUP(M6,$H$33:$H$36,_xlfn.XLOOKUP(RIGHT(C6,2),$I$32:$L$32,$I$33:$L$36))*N6</f>
        <v>200655</v>
      </c>
      <c r="T6" s="36">
        <f t="shared" si="12"/>
        <v>196833.00000000003</v>
      </c>
      <c r="U6" s="21">
        <f t="shared" si="13"/>
        <v>3788000</v>
      </c>
      <c r="V6" s="36">
        <f t="shared" si="14"/>
        <v>76440</v>
      </c>
      <c r="W6" s="20">
        <f t="shared" si="15"/>
        <v>3711000</v>
      </c>
      <c r="X6" s="22">
        <f t="shared" si="16"/>
        <v>37</v>
      </c>
      <c r="Y6" s="43">
        <f t="shared" si="17"/>
        <v>0</v>
      </c>
      <c r="Z6" s="22">
        <f t="shared" si="18"/>
        <v>0</v>
      </c>
      <c r="AA6" s="43">
        <f t="shared" si="19"/>
        <v>1</v>
      </c>
      <c r="AB6" s="22">
        <f t="shared" si="20"/>
        <v>0</v>
      </c>
      <c r="AC6" s="22">
        <f t="shared" si="21"/>
        <v>1</v>
      </c>
      <c r="AD6" s="23">
        <f t="shared" si="0"/>
        <v>3711000</v>
      </c>
    </row>
    <row r="7" spans="1:30" ht="18" customHeight="1" x14ac:dyDescent="0.25">
      <c r="A7" s="14">
        <v>5</v>
      </c>
      <c r="B7" s="15" t="s">
        <v>32</v>
      </c>
      <c r="C7" s="16" t="s">
        <v>33</v>
      </c>
      <c r="D7" s="17">
        <f>DATE(MID(Soal!C7,17,4),MID(Soal!C7,15,2),MID(Soal!C7,13,2))</f>
        <v>37462</v>
      </c>
      <c r="E7" s="18">
        <f t="shared" si="1"/>
        <v>22</v>
      </c>
      <c r="F7" s="41" t="str">
        <f>IF(MID(C7,2,1)="C","Kontrak",IF(MID(Soal!C7,2,1)="T","Tetap","Lepas"))</f>
        <v>Tetap</v>
      </c>
      <c r="G7" s="15" t="str">
        <f t="shared" si="2"/>
        <v>Kawin</v>
      </c>
      <c r="H7" s="15">
        <f t="shared" si="3"/>
        <v>5</v>
      </c>
      <c r="I7" s="41" t="str">
        <f t="shared" si="4"/>
        <v>Islam</v>
      </c>
      <c r="J7" s="17">
        <f>DATE(MID(Soal!C7,7,4),MID(Soal!C7,5,2),MID(Soal!C7,3,2))</f>
        <v>38061</v>
      </c>
      <c r="K7" s="15">
        <f t="shared" si="5"/>
        <v>252</v>
      </c>
      <c r="L7" s="19">
        <v>267</v>
      </c>
      <c r="M7" s="15">
        <f t="shared" si="6"/>
        <v>1</v>
      </c>
      <c r="N7" s="36">
        <f t="shared" si="7"/>
        <v>1911000</v>
      </c>
      <c r="O7" s="42">
        <f t="shared" si="8"/>
        <v>2584848.5</v>
      </c>
      <c r="P7" s="36">
        <f t="shared" si="9"/>
        <v>573300</v>
      </c>
      <c r="Q7" s="36">
        <f t="shared" si="10"/>
        <v>95550</v>
      </c>
      <c r="R7" s="36">
        <f t="shared" si="11"/>
        <v>95550</v>
      </c>
      <c r="S7" s="42" cm="1">
        <f t="array" ref="S7">_xlfn.XLOOKUP(M7,$H$33:$H$36,_xlfn.XLOOKUP(RIGHT(C7,2),$I$32:$L$32,$I$33:$L$36))*N7</f>
        <v>105105</v>
      </c>
      <c r="T7" s="36">
        <f t="shared" si="12"/>
        <v>191100</v>
      </c>
      <c r="U7" s="21">
        <f t="shared" si="13"/>
        <v>5557000</v>
      </c>
      <c r="V7" s="36">
        <f t="shared" si="14"/>
        <v>38220</v>
      </c>
      <c r="W7" s="20">
        <f t="shared" si="15"/>
        <v>5518000</v>
      </c>
      <c r="X7" s="22">
        <f t="shared" si="16"/>
        <v>55</v>
      </c>
      <c r="Y7" s="43">
        <f t="shared" si="17"/>
        <v>0</v>
      </c>
      <c r="Z7" s="22">
        <f t="shared" si="18"/>
        <v>0</v>
      </c>
      <c r="AA7" s="43">
        <f t="shared" si="19"/>
        <v>1</v>
      </c>
      <c r="AB7" s="22">
        <f t="shared" si="20"/>
        <v>1</v>
      </c>
      <c r="AC7" s="22">
        <f t="shared" si="21"/>
        <v>3</v>
      </c>
      <c r="AD7" s="23">
        <f t="shared" si="0"/>
        <v>5518000</v>
      </c>
    </row>
    <row r="8" spans="1:30" ht="18" customHeight="1" x14ac:dyDescent="0.25">
      <c r="A8" s="14">
        <v>6</v>
      </c>
      <c r="B8" s="15" t="s">
        <v>34</v>
      </c>
      <c r="C8" s="16" t="s">
        <v>35</v>
      </c>
      <c r="D8" s="17">
        <f>DATE(MID(Soal!C8,17,4),MID(Soal!C8,15,2),MID(Soal!C8,13,2))</f>
        <v>32247</v>
      </c>
      <c r="E8" s="18">
        <f t="shared" si="1"/>
        <v>36</v>
      </c>
      <c r="F8" s="41" t="str">
        <f>IF(MID(C8,2,1)="C","Kontrak",IF(MID(Soal!C8,2,1)="T","Tetap","Lepas"))</f>
        <v>Lepas</v>
      </c>
      <c r="G8" s="15" t="str">
        <f t="shared" si="2"/>
        <v>Duda</v>
      </c>
      <c r="H8" s="15">
        <f t="shared" si="3"/>
        <v>0</v>
      </c>
      <c r="I8" s="41" t="str">
        <f t="shared" si="4"/>
        <v>Hindu</v>
      </c>
      <c r="J8" s="17">
        <f>DATE(MID(Soal!C8,7,4),MID(Soal!C8,5,2),MID(Soal!C8,3,2))</f>
        <v>33093</v>
      </c>
      <c r="K8" s="15">
        <f t="shared" si="5"/>
        <v>415</v>
      </c>
      <c r="L8" s="19">
        <v>246</v>
      </c>
      <c r="M8" s="15">
        <f t="shared" si="6"/>
        <v>3</v>
      </c>
      <c r="N8" s="36">
        <f t="shared" si="7"/>
        <v>1911000</v>
      </c>
      <c r="O8" s="42">
        <f t="shared" si="8"/>
        <v>1763528</v>
      </c>
      <c r="P8" s="36">
        <f t="shared" si="9"/>
        <v>0</v>
      </c>
      <c r="Q8" s="36">
        <f t="shared" si="10"/>
        <v>95550</v>
      </c>
      <c r="R8" s="36">
        <f t="shared" si="11"/>
        <v>171990</v>
      </c>
      <c r="S8" s="42" cm="1">
        <f t="array" ref="S8">_xlfn.XLOOKUP(M8,$H$33:$H$36,_xlfn.XLOOKUP(RIGHT(C8,2),$I$32:$L$32,$I$33:$L$36))*N8</f>
        <v>200655</v>
      </c>
      <c r="T8" s="36">
        <f t="shared" si="12"/>
        <v>196833.00000000003</v>
      </c>
      <c r="U8" s="21">
        <f t="shared" si="13"/>
        <v>4340000</v>
      </c>
      <c r="V8" s="36">
        <f t="shared" si="14"/>
        <v>76440</v>
      </c>
      <c r="W8" s="20">
        <f t="shared" si="15"/>
        <v>4263000</v>
      </c>
      <c r="X8" s="22">
        <f t="shared" si="16"/>
        <v>42</v>
      </c>
      <c r="Y8" s="43">
        <f t="shared" si="17"/>
        <v>1</v>
      </c>
      <c r="Z8" s="22">
        <f t="shared" si="18"/>
        <v>0</v>
      </c>
      <c r="AA8" s="43">
        <f t="shared" si="19"/>
        <v>1</v>
      </c>
      <c r="AB8" s="22">
        <f t="shared" si="20"/>
        <v>0</v>
      </c>
      <c r="AC8" s="22">
        <f t="shared" si="21"/>
        <v>3</v>
      </c>
      <c r="AD8" s="23">
        <f t="shared" si="0"/>
        <v>4263000</v>
      </c>
    </row>
    <row r="9" spans="1:30" ht="18" customHeight="1" x14ac:dyDescent="0.25">
      <c r="A9" s="14">
        <v>7</v>
      </c>
      <c r="B9" s="15" t="s">
        <v>36</v>
      </c>
      <c r="C9" s="16" t="s">
        <v>37</v>
      </c>
      <c r="D9" s="17">
        <f>DATE(MID(Soal!C9,17,4),MID(Soal!C9,15,2),MID(Soal!C9,13,2))</f>
        <v>37841</v>
      </c>
      <c r="E9" s="18">
        <f t="shared" si="1"/>
        <v>21</v>
      </c>
      <c r="F9" s="41" t="str">
        <f>IF(MID(C9,2,1)="C","Kontrak",IF(MID(Soal!C9,2,1)="T","Tetap","Lepas"))</f>
        <v>Kontrak</v>
      </c>
      <c r="G9" s="15" t="str">
        <f t="shared" si="2"/>
        <v>Belum Kawin</v>
      </c>
      <c r="H9" s="15">
        <f t="shared" si="3"/>
        <v>2</v>
      </c>
      <c r="I9" s="41" t="str">
        <f t="shared" si="4"/>
        <v>Nasrani</v>
      </c>
      <c r="J9" s="17">
        <f>DATE(MID(Soal!C9,7,4),MID(Soal!C9,5,2),MID(Soal!C9,3,2))</f>
        <v>38655</v>
      </c>
      <c r="K9" s="15">
        <f t="shared" si="5"/>
        <v>233</v>
      </c>
      <c r="L9" s="19">
        <v>193</v>
      </c>
      <c r="M9" s="15">
        <f t="shared" si="6"/>
        <v>1</v>
      </c>
      <c r="N9" s="36">
        <f t="shared" si="7"/>
        <v>1844115</v>
      </c>
      <c r="O9" s="42">
        <f t="shared" si="8"/>
        <v>0</v>
      </c>
      <c r="P9" s="36">
        <f t="shared" si="9"/>
        <v>368823</v>
      </c>
      <c r="Q9" s="36">
        <f t="shared" si="10"/>
        <v>0</v>
      </c>
      <c r="R9" s="36">
        <f t="shared" si="11"/>
        <v>92205.75</v>
      </c>
      <c r="S9" s="42" cm="1">
        <f t="array" ref="S9">_xlfn.XLOOKUP(M9,$H$33:$H$36,_xlfn.XLOOKUP(RIGHT(C9,2),$I$32:$L$32,$I$33:$L$36))*N9</f>
        <v>110646.9</v>
      </c>
      <c r="T9" s="36">
        <f t="shared" si="12"/>
        <v>188099.72999999998</v>
      </c>
      <c r="U9" s="21">
        <f t="shared" si="13"/>
        <v>2604000</v>
      </c>
      <c r="V9" s="36">
        <f t="shared" si="14"/>
        <v>36882.300000000003</v>
      </c>
      <c r="W9" s="20">
        <f t="shared" si="15"/>
        <v>2567000</v>
      </c>
      <c r="X9" s="22">
        <f t="shared" si="16"/>
        <v>25</v>
      </c>
      <c r="Y9" s="43">
        <f t="shared" si="17"/>
        <v>1</v>
      </c>
      <c r="Z9" s="22">
        <f t="shared" si="18"/>
        <v>0</v>
      </c>
      <c r="AA9" s="43">
        <f t="shared" si="19"/>
        <v>1</v>
      </c>
      <c r="AB9" s="22">
        <f t="shared" si="20"/>
        <v>1</v>
      </c>
      <c r="AC9" s="22">
        <f t="shared" si="21"/>
        <v>2</v>
      </c>
      <c r="AD9" s="23">
        <f t="shared" si="0"/>
        <v>2567000</v>
      </c>
    </row>
    <row r="10" spans="1:30" ht="18" customHeight="1" x14ac:dyDescent="0.25">
      <c r="A10" s="14">
        <v>8</v>
      </c>
      <c r="B10" s="15" t="s">
        <v>38</v>
      </c>
      <c r="C10" s="16" t="s">
        <v>39</v>
      </c>
      <c r="D10" s="17">
        <f>DATE(MID(Soal!C10,17,4),MID(Soal!C10,15,2),MID(Soal!C10,13,2))</f>
        <v>29360</v>
      </c>
      <c r="E10" s="18">
        <f t="shared" si="1"/>
        <v>44</v>
      </c>
      <c r="F10" s="41" t="str">
        <f>IF(MID(C10,2,1)="C","Kontrak",IF(MID(Soal!C10,2,1)="T","Tetap","Lepas"))</f>
        <v>Kontrak</v>
      </c>
      <c r="G10" s="15" t="str">
        <f t="shared" si="2"/>
        <v>Janda</v>
      </c>
      <c r="H10" s="15">
        <f t="shared" si="3"/>
        <v>3</v>
      </c>
      <c r="I10" s="41" t="str">
        <f t="shared" si="4"/>
        <v>Budha</v>
      </c>
      <c r="J10" s="17">
        <f>DATE(MID(Soal!C10,7,4),MID(Soal!C10,5,2),MID(Soal!C10,3,2))</f>
        <v>30110</v>
      </c>
      <c r="K10" s="15">
        <f t="shared" si="5"/>
        <v>513</v>
      </c>
      <c r="L10" s="19">
        <v>135</v>
      </c>
      <c r="M10" s="15">
        <f t="shared" si="6"/>
        <v>4</v>
      </c>
      <c r="N10" s="36">
        <f t="shared" si="7"/>
        <v>1289925</v>
      </c>
      <c r="O10" s="42">
        <f t="shared" si="8"/>
        <v>0</v>
      </c>
      <c r="P10" s="36">
        <f t="shared" si="9"/>
        <v>386977.5</v>
      </c>
      <c r="Q10" s="36">
        <f t="shared" si="10"/>
        <v>64496.25</v>
      </c>
      <c r="R10" s="36">
        <f t="shared" si="11"/>
        <v>128992.5</v>
      </c>
      <c r="S10" s="42" cm="1">
        <f t="array" ref="S10">_xlfn.XLOOKUP(M10,$H$33:$H$36,_xlfn.XLOOKUP(RIGHT(C10,2),$I$32:$L$32,$I$33:$L$36))*N10</f>
        <v>140601.82500000001</v>
      </c>
      <c r="T10" s="36">
        <f t="shared" si="12"/>
        <v>132862.27500000002</v>
      </c>
      <c r="U10" s="21">
        <f t="shared" si="13"/>
        <v>2144000</v>
      </c>
      <c r="V10" s="36">
        <f t="shared" si="14"/>
        <v>64496.25</v>
      </c>
      <c r="W10" s="20">
        <f t="shared" si="15"/>
        <v>2079000</v>
      </c>
      <c r="X10" s="22">
        <f t="shared" si="16"/>
        <v>20</v>
      </c>
      <c r="Y10" s="43">
        <f t="shared" si="17"/>
        <v>1</v>
      </c>
      <c r="Z10" s="22">
        <f t="shared" si="18"/>
        <v>1</v>
      </c>
      <c r="AA10" s="43">
        <f t="shared" si="19"/>
        <v>0</v>
      </c>
      <c r="AB10" s="22">
        <f t="shared" si="20"/>
        <v>1</v>
      </c>
      <c r="AC10" s="22">
        <f t="shared" si="21"/>
        <v>4</v>
      </c>
      <c r="AD10" s="23">
        <f t="shared" si="0"/>
        <v>2079000</v>
      </c>
    </row>
    <row r="11" spans="1:30" ht="18" customHeight="1" x14ac:dyDescent="0.25">
      <c r="A11" s="14">
        <v>9</v>
      </c>
      <c r="B11" s="15" t="s">
        <v>40</v>
      </c>
      <c r="C11" s="16" t="s">
        <v>41</v>
      </c>
      <c r="D11" s="17">
        <f>DATE(MID(Soal!C11,17,4),MID(Soal!C11,15,2),MID(Soal!C11,13,2))</f>
        <v>35292</v>
      </c>
      <c r="E11" s="18">
        <f t="shared" si="1"/>
        <v>28</v>
      </c>
      <c r="F11" s="41" t="str">
        <f>IF(MID(C11,2,1)="C","Kontrak",IF(MID(Soal!C11,2,1)="T","Tetap","Lepas"))</f>
        <v>Tetap</v>
      </c>
      <c r="G11" s="15" t="str">
        <f t="shared" si="2"/>
        <v>Kawin</v>
      </c>
      <c r="H11" s="15">
        <f t="shared" si="3"/>
        <v>4</v>
      </c>
      <c r="I11" s="41" t="str">
        <f t="shared" si="4"/>
        <v>Islam</v>
      </c>
      <c r="J11" s="17">
        <f>DATE(MID(Soal!C11,7,4),MID(Soal!C11,5,2),MID(Soal!C11,3,2))</f>
        <v>36140</v>
      </c>
      <c r="K11" s="15">
        <f t="shared" si="5"/>
        <v>315</v>
      </c>
      <c r="L11" s="19">
        <v>222</v>
      </c>
      <c r="M11" s="15">
        <f t="shared" si="6"/>
        <v>2</v>
      </c>
      <c r="N11" s="36">
        <f t="shared" si="7"/>
        <v>1911000</v>
      </c>
      <c r="O11" s="42">
        <f t="shared" si="8"/>
        <v>824876</v>
      </c>
      <c r="P11" s="36">
        <f t="shared" si="9"/>
        <v>573300</v>
      </c>
      <c r="Q11" s="36">
        <f t="shared" si="10"/>
        <v>95550</v>
      </c>
      <c r="R11" s="36">
        <f t="shared" si="11"/>
        <v>152880</v>
      </c>
      <c r="S11" s="42" cm="1">
        <f t="array" ref="S11">_xlfn.XLOOKUP(M11,$H$33:$H$36,_xlfn.XLOOKUP(RIGHT(C11,2),$I$32:$L$32,$I$33:$L$36))*N11</f>
        <v>133770</v>
      </c>
      <c r="T11" s="36">
        <f t="shared" si="12"/>
        <v>191100</v>
      </c>
      <c r="U11" s="21">
        <f t="shared" si="13"/>
        <v>3883000</v>
      </c>
      <c r="V11" s="36">
        <f t="shared" si="14"/>
        <v>57330</v>
      </c>
      <c r="W11" s="20">
        <f t="shared" si="15"/>
        <v>3825000</v>
      </c>
      <c r="X11" s="22">
        <f t="shared" si="16"/>
        <v>38</v>
      </c>
      <c r="Y11" s="43">
        <f t="shared" si="17"/>
        <v>0</v>
      </c>
      <c r="Z11" s="22">
        <f t="shared" si="18"/>
        <v>1</v>
      </c>
      <c r="AA11" s="43">
        <f t="shared" si="19"/>
        <v>0</v>
      </c>
      <c r="AB11" s="22">
        <f t="shared" si="20"/>
        <v>1</v>
      </c>
      <c r="AC11" s="22">
        <f t="shared" si="21"/>
        <v>0</v>
      </c>
      <c r="AD11" s="23">
        <f t="shared" si="0"/>
        <v>3825000</v>
      </c>
    </row>
    <row r="12" spans="1:30" ht="18" customHeight="1" x14ac:dyDescent="0.25">
      <c r="A12" s="14">
        <v>10</v>
      </c>
      <c r="B12" s="15" t="s">
        <v>42</v>
      </c>
      <c r="C12" s="16" t="s">
        <v>43</v>
      </c>
      <c r="D12" s="17">
        <f>DATE(MID(Soal!C12,17,4),MID(Soal!C12,15,2),MID(Soal!C12,13,2))</f>
        <v>36980</v>
      </c>
      <c r="E12" s="18">
        <f t="shared" si="1"/>
        <v>24</v>
      </c>
      <c r="F12" s="41" t="str">
        <f>IF(MID(C12,2,1)="C","Kontrak",IF(MID(Soal!C12,2,1)="T","Tetap","Lepas"))</f>
        <v>Kontrak</v>
      </c>
      <c r="G12" s="15" t="str">
        <f t="shared" si="2"/>
        <v>Belum Kawin</v>
      </c>
      <c r="H12" s="15">
        <f t="shared" si="3"/>
        <v>1</v>
      </c>
      <c r="I12" s="41" t="str">
        <f t="shared" si="4"/>
        <v>Hindu</v>
      </c>
      <c r="J12" s="17">
        <f>DATE(MID(Soal!C12,7,4),MID(Soal!C12,5,2),MID(Soal!C12,3,2))</f>
        <v>37803</v>
      </c>
      <c r="K12" s="15">
        <f t="shared" si="5"/>
        <v>261</v>
      </c>
      <c r="L12" s="19">
        <v>218</v>
      </c>
      <c r="M12" s="15">
        <f t="shared" si="6"/>
        <v>1</v>
      </c>
      <c r="N12" s="36">
        <f t="shared" si="7"/>
        <v>1911000</v>
      </c>
      <c r="O12" s="42">
        <f t="shared" si="8"/>
        <v>668434</v>
      </c>
      <c r="P12" s="36">
        <f t="shared" si="9"/>
        <v>191100</v>
      </c>
      <c r="Q12" s="36">
        <f t="shared" si="10"/>
        <v>0</v>
      </c>
      <c r="R12" s="36">
        <f t="shared" si="11"/>
        <v>95550</v>
      </c>
      <c r="S12" s="42" cm="1">
        <f t="array" ref="S12">_xlfn.XLOOKUP(M12,$H$33:$H$36,_xlfn.XLOOKUP(RIGHT(C12,2),$I$32:$L$32,$I$33:$L$36))*N12</f>
        <v>124215</v>
      </c>
      <c r="T12" s="36">
        <f t="shared" si="12"/>
        <v>196833.00000000003</v>
      </c>
      <c r="U12" s="21">
        <f t="shared" si="13"/>
        <v>3188000</v>
      </c>
      <c r="V12" s="36">
        <f t="shared" si="14"/>
        <v>38220</v>
      </c>
      <c r="W12" s="20">
        <f t="shared" si="15"/>
        <v>3149000</v>
      </c>
      <c r="X12" s="22">
        <f t="shared" si="16"/>
        <v>31</v>
      </c>
      <c r="Y12" s="43">
        <f t="shared" si="17"/>
        <v>0</v>
      </c>
      <c r="Z12" s="22">
        <f t="shared" si="18"/>
        <v>2</v>
      </c>
      <c r="AA12" s="43">
        <f t="shared" si="19"/>
        <v>0</v>
      </c>
      <c r="AB12" s="22">
        <f t="shared" si="20"/>
        <v>1</v>
      </c>
      <c r="AC12" s="22">
        <f t="shared" si="21"/>
        <v>4</v>
      </c>
      <c r="AD12" s="23">
        <f t="shared" si="0"/>
        <v>3149000</v>
      </c>
    </row>
    <row r="13" spans="1:30" ht="18" customHeight="1" x14ac:dyDescent="0.25">
      <c r="A13" s="14">
        <v>11</v>
      </c>
      <c r="B13" s="15" t="s">
        <v>44</v>
      </c>
      <c r="C13" s="16" t="s">
        <v>45</v>
      </c>
      <c r="D13" s="17">
        <f>DATE(MID(Soal!C13,17,4),MID(Soal!C13,15,2),MID(Soal!C13,13,2))</f>
        <v>31038</v>
      </c>
      <c r="E13" s="18">
        <f t="shared" si="1"/>
        <v>40</v>
      </c>
      <c r="F13" s="41" t="str">
        <f>IF(MID(C13,2,1)="C","Kontrak",IF(MID(Soal!C13,2,1)="T","Tetap","Lepas"))</f>
        <v>Kontrak</v>
      </c>
      <c r="G13" s="15" t="str">
        <f t="shared" si="2"/>
        <v>Kawin</v>
      </c>
      <c r="H13" s="15">
        <f t="shared" si="3"/>
        <v>5</v>
      </c>
      <c r="I13" s="41" t="str">
        <f t="shared" si="4"/>
        <v>Nasrani</v>
      </c>
      <c r="J13" s="17">
        <f>DATE(MID(Soal!C13,7,4),MID(Soal!C13,5,2),MID(Soal!C13,3,2))</f>
        <v>31603</v>
      </c>
      <c r="K13" s="15">
        <f t="shared" si="5"/>
        <v>464</v>
      </c>
      <c r="L13" s="19">
        <v>237</v>
      </c>
      <c r="M13" s="15">
        <f t="shared" si="6"/>
        <v>4</v>
      </c>
      <c r="N13" s="36">
        <f t="shared" si="7"/>
        <v>1911000</v>
      </c>
      <c r="O13" s="42">
        <f t="shared" si="8"/>
        <v>1411533.5</v>
      </c>
      <c r="P13" s="36">
        <f t="shared" si="9"/>
        <v>573300</v>
      </c>
      <c r="Q13" s="36">
        <f t="shared" si="10"/>
        <v>95550</v>
      </c>
      <c r="R13" s="36">
        <f t="shared" si="11"/>
        <v>191100</v>
      </c>
      <c r="S13" s="42" cm="1">
        <f t="array" ref="S13">_xlfn.XLOOKUP(M13,$H$33:$H$36,_xlfn.XLOOKUP(RIGHT(C13,2),$I$32:$L$32,$I$33:$L$36))*N13</f>
        <v>208299</v>
      </c>
      <c r="T13" s="36">
        <f t="shared" si="12"/>
        <v>194922</v>
      </c>
      <c r="U13" s="21">
        <f t="shared" si="13"/>
        <v>4586000</v>
      </c>
      <c r="V13" s="36">
        <f t="shared" si="14"/>
        <v>95550</v>
      </c>
      <c r="W13" s="20">
        <f t="shared" si="15"/>
        <v>4490000</v>
      </c>
      <c r="X13" s="22">
        <f t="shared" si="16"/>
        <v>44</v>
      </c>
      <c r="Y13" s="43">
        <f t="shared" si="17"/>
        <v>1</v>
      </c>
      <c r="Z13" s="22">
        <f t="shared" si="18"/>
        <v>2</v>
      </c>
      <c r="AA13" s="43">
        <f t="shared" si="19"/>
        <v>0</v>
      </c>
      <c r="AB13" s="22">
        <f t="shared" si="20"/>
        <v>0</v>
      </c>
      <c r="AC13" s="22">
        <f t="shared" si="21"/>
        <v>0</v>
      </c>
      <c r="AD13" s="23">
        <f t="shared" si="0"/>
        <v>4490000</v>
      </c>
    </row>
    <row r="14" spans="1:30" ht="18" customHeight="1" x14ac:dyDescent="0.25">
      <c r="A14" s="14">
        <v>12</v>
      </c>
      <c r="B14" s="15" t="s">
        <v>46</v>
      </c>
      <c r="C14" s="16" t="s">
        <v>47</v>
      </c>
      <c r="D14" s="17">
        <f>DATE(MID(Soal!C14,17,4),MID(Soal!C14,15,2),MID(Soal!C14,13,2))</f>
        <v>33886</v>
      </c>
      <c r="E14" s="18">
        <f t="shared" si="1"/>
        <v>32</v>
      </c>
      <c r="F14" s="41" t="str">
        <f>IF(MID(C14,2,1)="C","Kontrak",IF(MID(Soal!C14,2,1)="T","Tetap","Lepas"))</f>
        <v>Kontrak</v>
      </c>
      <c r="G14" s="15" t="str">
        <f t="shared" si="2"/>
        <v>Duda</v>
      </c>
      <c r="H14" s="15">
        <f t="shared" si="3"/>
        <v>0</v>
      </c>
      <c r="I14" s="41" t="str">
        <f t="shared" si="4"/>
        <v>Lainnya</v>
      </c>
      <c r="J14" s="17">
        <f>DATE(MID(Soal!C14,7,4),MID(Soal!C14,5,2),MID(Soal!C14,3,2))</f>
        <v>34696</v>
      </c>
      <c r="K14" s="15">
        <f t="shared" si="5"/>
        <v>363</v>
      </c>
      <c r="L14" s="19">
        <v>156</v>
      </c>
      <c r="M14" s="15">
        <f t="shared" si="6"/>
        <v>2</v>
      </c>
      <c r="N14" s="36">
        <f t="shared" si="7"/>
        <v>1490580</v>
      </c>
      <c r="O14" s="42">
        <f t="shared" si="8"/>
        <v>0</v>
      </c>
      <c r="P14" s="36">
        <f t="shared" si="9"/>
        <v>0</v>
      </c>
      <c r="Q14" s="36">
        <f t="shared" si="10"/>
        <v>74529</v>
      </c>
      <c r="R14" s="36">
        <f t="shared" si="11"/>
        <v>119246.40000000001</v>
      </c>
      <c r="S14" s="42" cm="1">
        <f t="array" ref="S14">_xlfn.XLOOKUP(M14,$H$33:$H$36,_xlfn.XLOOKUP(RIGHT(C14,2),$I$32:$L$32,$I$33:$L$36))*N14</f>
        <v>119246.40000000001</v>
      </c>
      <c r="T14" s="36">
        <f t="shared" si="12"/>
        <v>153529.74000000002</v>
      </c>
      <c r="U14" s="21">
        <f t="shared" si="13"/>
        <v>1958000</v>
      </c>
      <c r="V14" s="36">
        <f t="shared" si="14"/>
        <v>44717.4</v>
      </c>
      <c r="W14" s="20">
        <f t="shared" si="15"/>
        <v>1913000</v>
      </c>
      <c r="X14" s="22">
        <f t="shared" si="16"/>
        <v>19</v>
      </c>
      <c r="Y14" s="43">
        <f t="shared" si="17"/>
        <v>0</v>
      </c>
      <c r="Z14" s="22">
        <f t="shared" si="18"/>
        <v>0</v>
      </c>
      <c r="AA14" s="43">
        <f t="shared" si="19"/>
        <v>1</v>
      </c>
      <c r="AB14" s="22">
        <f t="shared" si="20"/>
        <v>0</v>
      </c>
      <c r="AC14" s="22">
        <f t="shared" si="21"/>
        <v>3</v>
      </c>
      <c r="AD14" s="23">
        <f t="shared" si="0"/>
        <v>1913000</v>
      </c>
    </row>
    <row r="15" spans="1:30" ht="18" customHeight="1" x14ac:dyDescent="0.25">
      <c r="A15" s="14">
        <v>13</v>
      </c>
      <c r="B15" s="15" t="s">
        <v>48</v>
      </c>
      <c r="C15" s="16" t="s">
        <v>49</v>
      </c>
      <c r="D15" s="17">
        <f>DATE(MID(Soal!C15,17,4),MID(Soal!C15,15,2),MID(Soal!C15,13,2))</f>
        <v>35520</v>
      </c>
      <c r="E15" s="18">
        <f t="shared" si="1"/>
        <v>28</v>
      </c>
      <c r="F15" s="41" t="str">
        <f>IF(MID(C15,2,1)="C","Kontrak",IF(MID(Soal!C15,2,1)="T","Tetap","Lepas"))</f>
        <v>Lepas</v>
      </c>
      <c r="G15" s="15" t="str">
        <f t="shared" si="2"/>
        <v>Kawin</v>
      </c>
      <c r="H15" s="15">
        <f t="shared" si="3"/>
        <v>2</v>
      </c>
      <c r="I15" s="41" t="str">
        <f t="shared" si="4"/>
        <v>Islam</v>
      </c>
      <c r="J15" s="17">
        <f>DATE(MID(Soal!C15,7,4),MID(Soal!C15,5,2),MID(Soal!C15,3,2))</f>
        <v>36200</v>
      </c>
      <c r="K15" s="15">
        <f t="shared" si="5"/>
        <v>313</v>
      </c>
      <c r="L15" s="19">
        <v>134</v>
      </c>
      <c r="M15" s="15">
        <f t="shared" si="6"/>
        <v>2</v>
      </c>
      <c r="N15" s="36">
        <f t="shared" si="7"/>
        <v>1280370</v>
      </c>
      <c r="O15" s="42">
        <f t="shared" si="8"/>
        <v>0</v>
      </c>
      <c r="P15" s="36">
        <f t="shared" si="9"/>
        <v>256074</v>
      </c>
      <c r="Q15" s="36">
        <f t="shared" si="10"/>
        <v>64018.5</v>
      </c>
      <c r="R15" s="36">
        <f t="shared" si="11"/>
        <v>102429.6</v>
      </c>
      <c r="S15" s="42" cm="1">
        <f t="array" ref="S15">_xlfn.XLOOKUP(M15,$H$33:$H$36,_xlfn.XLOOKUP(RIGHT(C15,2),$I$32:$L$32,$I$33:$L$36))*N15</f>
        <v>89625.900000000009</v>
      </c>
      <c r="T15" s="36">
        <f t="shared" si="12"/>
        <v>128037</v>
      </c>
      <c r="U15" s="21">
        <f t="shared" si="13"/>
        <v>1921000</v>
      </c>
      <c r="V15" s="36">
        <f t="shared" si="14"/>
        <v>38411.1</v>
      </c>
      <c r="W15" s="20">
        <f t="shared" si="15"/>
        <v>1882000</v>
      </c>
      <c r="X15" s="22">
        <f t="shared" si="16"/>
        <v>18</v>
      </c>
      <c r="Y15" s="43">
        <f t="shared" si="17"/>
        <v>1</v>
      </c>
      <c r="Z15" s="22">
        <f t="shared" si="18"/>
        <v>1</v>
      </c>
      <c r="AA15" s="43">
        <f t="shared" si="19"/>
        <v>1</v>
      </c>
      <c r="AB15" s="22">
        <f t="shared" si="20"/>
        <v>0</v>
      </c>
      <c r="AC15" s="22">
        <f t="shared" si="21"/>
        <v>2</v>
      </c>
      <c r="AD15" s="23">
        <f t="shared" si="0"/>
        <v>1882000</v>
      </c>
    </row>
    <row r="16" spans="1:30" ht="18" customHeight="1" x14ac:dyDescent="0.25">
      <c r="A16" s="14">
        <v>14</v>
      </c>
      <c r="B16" s="15" t="s">
        <v>50</v>
      </c>
      <c r="C16" s="16" t="s">
        <v>51</v>
      </c>
      <c r="D16" s="17">
        <f>DATE(MID(Soal!C16,17,4),MID(Soal!C16,15,2),MID(Soal!C16,13,2))</f>
        <v>36255</v>
      </c>
      <c r="E16" s="18">
        <f t="shared" si="1"/>
        <v>25</v>
      </c>
      <c r="F16" s="41" t="str">
        <f>IF(MID(C16,2,1)="C","Kontrak",IF(MID(Soal!C16,2,1)="T","Tetap","Lepas"))</f>
        <v>Kontrak</v>
      </c>
      <c r="G16" s="15" t="str">
        <f t="shared" si="2"/>
        <v>Belum Kawin</v>
      </c>
      <c r="H16" s="15">
        <f t="shared" si="3"/>
        <v>3</v>
      </c>
      <c r="I16" s="41" t="str">
        <f t="shared" si="4"/>
        <v>Hindu</v>
      </c>
      <c r="J16" s="17">
        <f>DATE(MID(Soal!C16,7,4),MID(Soal!C16,5,2),MID(Soal!C16,3,2))</f>
        <v>36902</v>
      </c>
      <c r="K16" s="15">
        <f t="shared" si="5"/>
        <v>290</v>
      </c>
      <c r="L16" s="19">
        <v>210</v>
      </c>
      <c r="M16" s="15">
        <f t="shared" si="6"/>
        <v>1</v>
      </c>
      <c r="N16" s="36">
        <f t="shared" si="7"/>
        <v>1911000</v>
      </c>
      <c r="O16" s="42">
        <f t="shared" si="8"/>
        <v>355550</v>
      </c>
      <c r="P16" s="36">
        <f t="shared" si="9"/>
        <v>573300</v>
      </c>
      <c r="Q16" s="36">
        <f t="shared" si="10"/>
        <v>0</v>
      </c>
      <c r="R16" s="36">
        <f t="shared" si="11"/>
        <v>95550</v>
      </c>
      <c r="S16" s="42" cm="1">
        <f t="array" ref="S16">_xlfn.XLOOKUP(M16,$H$33:$H$36,_xlfn.XLOOKUP(RIGHT(C16,2),$I$32:$L$32,$I$33:$L$36))*N16</f>
        <v>105105</v>
      </c>
      <c r="T16" s="36">
        <f t="shared" si="12"/>
        <v>196833.00000000003</v>
      </c>
      <c r="U16" s="21">
        <f t="shared" si="13"/>
        <v>3238000</v>
      </c>
      <c r="V16" s="36">
        <f t="shared" si="14"/>
        <v>38220</v>
      </c>
      <c r="W16" s="20">
        <f t="shared" si="15"/>
        <v>3199000</v>
      </c>
      <c r="X16" s="22">
        <f t="shared" si="16"/>
        <v>31</v>
      </c>
      <c r="Y16" s="43">
        <f t="shared" si="17"/>
        <v>1</v>
      </c>
      <c r="Z16" s="22">
        <f t="shared" si="18"/>
        <v>2</v>
      </c>
      <c r="AA16" s="43">
        <f t="shared" si="19"/>
        <v>0</v>
      </c>
      <c r="AB16" s="22">
        <f t="shared" si="20"/>
        <v>1</v>
      </c>
      <c r="AC16" s="22">
        <f t="shared" si="21"/>
        <v>4</v>
      </c>
      <c r="AD16" s="23">
        <f t="shared" si="0"/>
        <v>3199000</v>
      </c>
    </row>
    <row r="17" spans="1:30" ht="18" customHeight="1" x14ac:dyDescent="0.25">
      <c r="A17" s="14">
        <v>15</v>
      </c>
      <c r="B17" s="15" t="s">
        <v>52</v>
      </c>
      <c r="C17" s="16" t="s">
        <v>53</v>
      </c>
      <c r="D17" s="17">
        <f>DATE(MID(Soal!C17,17,4),MID(Soal!C17,15,2),MID(Soal!C17,13,2))</f>
        <v>33105</v>
      </c>
      <c r="E17" s="18">
        <f t="shared" si="1"/>
        <v>34</v>
      </c>
      <c r="F17" s="41" t="str">
        <f>IF(MID(C17,2,1)="C","Kontrak",IF(MID(Soal!C17,2,1)="T","Tetap","Lepas"))</f>
        <v>Kontrak</v>
      </c>
      <c r="G17" s="15" t="str">
        <f t="shared" si="2"/>
        <v>Duda</v>
      </c>
      <c r="H17" s="15">
        <f t="shared" si="3"/>
        <v>4</v>
      </c>
      <c r="I17" s="41" t="str">
        <f t="shared" si="4"/>
        <v>Nasrani</v>
      </c>
      <c r="J17" s="17">
        <f>DATE(MID(Soal!C17,7,4),MID(Soal!C17,5,2),MID(Soal!C17,3,2))</f>
        <v>33859</v>
      </c>
      <c r="K17" s="15">
        <f t="shared" si="5"/>
        <v>390</v>
      </c>
      <c r="L17" s="19">
        <v>128</v>
      </c>
      <c r="M17" s="15">
        <f t="shared" si="6"/>
        <v>3</v>
      </c>
      <c r="N17" s="36">
        <f t="shared" si="7"/>
        <v>1223040</v>
      </c>
      <c r="O17" s="42">
        <f t="shared" si="8"/>
        <v>0</v>
      </c>
      <c r="P17" s="36">
        <f t="shared" si="9"/>
        <v>366912</v>
      </c>
      <c r="Q17" s="36">
        <f t="shared" si="10"/>
        <v>61152</v>
      </c>
      <c r="R17" s="36">
        <f t="shared" si="11"/>
        <v>110073.59999999999</v>
      </c>
      <c r="S17" s="42" cm="1">
        <f t="array" ref="S17">_xlfn.XLOOKUP(M17,$H$33:$H$36,_xlfn.XLOOKUP(RIGHT(C17,2),$I$32:$L$32,$I$33:$L$36))*N17</f>
        <v>128419.2</v>
      </c>
      <c r="T17" s="36">
        <f t="shared" si="12"/>
        <v>124750.07999999999</v>
      </c>
      <c r="U17" s="21">
        <f t="shared" si="13"/>
        <v>2015000</v>
      </c>
      <c r="V17" s="36">
        <f t="shared" si="14"/>
        <v>48921.599999999999</v>
      </c>
      <c r="W17" s="20">
        <f t="shared" si="15"/>
        <v>1966000</v>
      </c>
      <c r="X17" s="22">
        <f t="shared" si="16"/>
        <v>19</v>
      </c>
      <c r="Y17" s="43">
        <f t="shared" si="17"/>
        <v>1</v>
      </c>
      <c r="Z17" s="22">
        <f t="shared" si="18"/>
        <v>0</v>
      </c>
      <c r="AA17" s="43">
        <f t="shared" si="19"/>
        <v>1</v>
      </c>
      <c r="AB17" s="22">
        <f t="shared" si="20"/>
        <v>1</v>
      </c>
      <c r="AC17" s="22">
        <f t="shared" si="21"/>
        <v>1</v>
      </c>
      <c r="AD17" s="23">
        <f t="shared" si="0"/>
        <v>1966000</v>
      </c>
    </row>
    <row r="18" spans="1:30" ht="5.45" customHeight="1" x14ac:dyDescent="0.25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  <c r="AA18" s="24"/>
      <c r="AB18" s="24"/>
      <c r="AC18" s="24"/>
      <c r="AD18" s="24"/>
    </row>
    <row r="19" spans="1:30" x14ac:dyDescent="0.25">
      <c r="D19" s="7"/>
      <c r="J19" s="7"/>
    </row>
    <row r="20" spans="1:30" ht="18.75" x14ac:dyDescent="0.3">
      <c r="B20" s="38" t="s">
        <v>54</v>
      </c>
      <c r="C20" s="39" t="s">
        <v>55</v>
      </c>
      <c r="D20" s="38" t="s">
        <v>56</v>
      </c>
      <c r="E20" s="39" t="str">
        <f ca="1">kode_jawaban</f>
        <v>AS2|C8-A42F;14-B59;1EF19-TPKK;3DEC8-KNJD;141-C9;C8-HUNH;1E-A428;28-B3F3;A-D7;14-AC275;10-BC7F;12-C2BAB;14-D61F;21-E176;24-E2B;1A-E1FD;1C-E785C80;2D-EA2;20-E75DFC8;228-Z591</v>
      </c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</row>
    <row r="22" spans="1:30" x14ac:dyDescent="0.25">
      <c r="B22" t="s">
        <v>57</v>
      </c>
    </row>
    <row r="26" spans="1:30" x14ac:dyDescent="0.25">
      <c r="B26" s="1" t="s">
        <v>58</v>
      </c>
      <c r="C26" s="1"/>
      <c r="D26" s="1"/>
      <c r="E26" s="1"/>
    </row>
    <row r="27" spans="1:30" ht="14.45" customHeight="1" x14ac:dyDescent="0.25">
      <c r="B27" s="25">
        <v>1</v>
      </c>
      <c r="C27" s="26" t="s">
        <v>59</v>
      </c>
      <c r="D27" s="27"/>
      <c r="E27" s="27"/>
      <c r="H27" s="4" t="s">
        <v>60</v>
      </c>
    </row>
    <row r="28" spans="1:30" x14ac:dyDescent="0.25">
      <c r="B28" s="25">
        <v>2</v>
      </c>
      <c r="C28" t="s">
        <v>61</v>
      </c>
      <c r="H28" s="28" t="s">
        <v>12</v>
      </c>
      <c r="I28" s="29">
        <v>1</v>
      </c>
      <c r="J28" s="29">
        <v>2</v>
      </c>
      <c r="K28" s="29">
        <v>3</v>
      </c>
      <c r="L28" s="29">
        <v>4</v>
      </c>
      <c r="N28" s="4" t="s">
        <v>62</v>
      </c>
    </row>
    <row r="29" spans="1:30" ht="14.45" customHeight="1" x14ac:dyDescent="0.25">
      <c r="B29" s="25">
        <v>3</v>
      </c>
      <c r="C29" s="26" t="s">
        <v>63</v>
      </c>
      <c r="D29" s="27"/>
      <c r="E29" s="27"/>
      <c r="H29" s="28" t="s">
        <v>64</v>
      </c>
      <c r="I29" s="30">
        <v>0.05</v>
      </c>
      <c r="J29" s="30">
        <v>0.08</v>
      </c>
      <c r="K29" s="30">
        <v>0.09</v>
      </c>
      <c r="L29" s="30">
        <v>0.1</v>
      </c>
      <c r="N29" s="31" t="s">
        <v>65</v>
      </c>
      <c r="O29" s="31" t="s">
        <v>66</v>
      </c>
    </row>
    <row r="30" spans="1:30" ht="14.45" customHeight="1" x14ac:dyDescent="0.25">
      <c r="B30" s="25">
        <v>4</v>
      </c>
      <c r="C30" s="26" t="s">
        <v>67</v>
      </c>
      <c r="D30" s="27"/>
      <c r="E30" s="27"/>
      <c r="N30" s="29">
        <v>1</v>
      </c>
      <c r="O30" s="32">
        <v>0.02</v>
      </c>
    </row>
    <row r="31" spans="1:30" ht="14.45" customHeight="1" x14ac:dyDescent="0.25">
      <c r="B31" s="25">
        <v>5</v>
      </c>
      <c r="C31" s="26" t="s">
        <v>68</v>
      </c>
      <c r="D31" s="27"/>
      <c r="E31" s="27"/>
      <c r="H31" s="44" t="s">
        <v>69</v>
      </c>
      <c r="I31" s="44"/>
      <c r="J31" s="44"/>
      <c r="K31" s="44"/>
      <c r="L31" s="44"/>
      <c r="N31" s="29">
        <v>2</v>
      </c>
      <c r="O31" s="32">
        <v>0.03</v>
      </c>
    </row>
    <row r="32" spans="1:30" ht="14.45" customHeight="1" x14ac:dyDescent="0.25">
      <c r="B32" s="25">
        <v>6</v>
      </c>
      <c r="C32" s="26" t="s">
        <v>70</v>
      </c>
      <c r="D32" s="27"/>
      <c r="E32" s="27"/>
      <c r="F32" s="27"/>
      <c r="H32" s="31" t="s">
        <v>71</v>
      </c>
      <c r="I32" s="31" t="s">
        <v>72</v>
      </c>
      <c r="J32" s="31" t="s">
        <v>73</v>
      </c>
      <c r="K32" s="31" t="s">
        <v>74</v>
      </c>
      <c r="L32" s="31" t="s">
        <v>75</v>
      </c>
      <c r="N32" s="29">
        <v>3</v>
      </c>
      <c r="O32" s="32">
        <v>0.04</v>
      </c>
    </row>
    <row r="33" spans="2:15" x14ac:dyDescent="0.25">
      <c r="B33" s="25">
        <v>7</v>
      </c>
      <c r="C33" s="26" t="s">
        <v>76</v>
      </c>
      <c r="D33" s="27"/>
      <c r="E33" s="27"/>
      <c r="F33" s="27"/>
      <c r="H33" s="29">
        <v>1</v>
      </c>
      <c r="I33" s="32">
        <v>0.05</v>
      </c>
      <c r="J33" s="32">
        <v>5.5E-2</v>
      </c>
      <c r="K33" s="32">
        <v>0.06</v>
      </c>
      <c r="L33" s="32">
        <v>6.5000000000000002E-2</v>
      </c>
      <c r="N33" s="29">
        <v>4</v>
      </c>
      <c r="O33" s="32">
        <v>0.05</v>
      </c>
    </row>
    <row r="34" spans="2:15" x14ac:dyDescent="0.25">
      <c r="B34" s="25">
        <v>8</v>
      </c>
      <c r="C34" t="s">
        <v>77</v>
      </c>
      <c r="H34" s="29">
        <v>2</v>
      </c>
      <c r="I34" s="32">
        <v>7.0000000000000007E-2</v>
      </c>
      <c r="J34" s="32">
        <v>7.4999999999999997E-2</v>
      </c>
      <c r="K34" s="32">
        <v>0.08</v>
      </c>
      <c r="L34" s="32">
        <v>8.5000000000000006E-2</v>
      </c>
    </row>
    <row r="35" spans="2:15" x14ac:dyDescent="0.25">
      <c r="B35" s="25">
        <v>9</v>
      </c>
      <c r="C35" s="33" t="s">
        <v>78</v>
      </c>
      <c r="H35" s="29">
        <v>3</v>
      </c>
      <c r="I35" s="32">
        <v>0.09</v>
      </c>
      <c r="J35" s="32">
        <v>9.5000000000000001E-2</v>
      </c>
      <c r="K35" s="32">
        <v>0.1</v>
      </c>
      <c r="L35" s="32">
        <v>0.105</v>
      </c>
    </row>
    <row r="36" spans="2:15" ht="14.45" customHeight="1" x14ac:dyDescent="0.25">
      <c r="B36" s="25"/>
      <c r="C36" s="34" t="s">
        <v>79</v>
      </c>
      <c r="H36" s="29">
        <v>4</v>
      </c>
      <c r="I36" s="32">
        <v>0.108</v>
      </c>
      <c r="J36" s="32">
        <v>0.109</v>
      </c>
      <c r="K36" s="32">
        <v>0.11</v>
      </c>
      <c r="L36" s="32">
        <v>0.115</v>
      </c>
    </row>
    <row r="37" spans="2:15" x14ac:dyDescent="0.25">
      <c r="B37" s="25"/>
      <c r="C37" s="34" t="s">
        <v>80</v>
      </c>
    </row>
    <row r="38" spans="2:15" x14ac:dyDescent="0.25">
      <c r="B38" s="25"/>
      <c r="C38" s="34" t="s">
        <v>81</v>
      </c>
    </row>
    <row r="39" spans="2:15" x14ac:dyDescent="0.25">
      <c r="B39" s="25"/>
      <c r="C39" s="34" t="s">
        <v>82</v>
      </c>
    </row>
    <row r="40" spans="2:15" ht="15" customHeight="1" x14ac:dyDescent="0.25">
      <c r="C40" s="3" t="s">
        <v>83</v>
      </c>
    </row>
    <row r="41" spans="2:15" x14ac:dyDescent="0.25">
      <c r="B41" s="25">
        <v>10</v>
      </c>
      <c r="C41" s="26" t="s">
        <v>84</v>
      </c>
    </row>
    <row r="42" spans="2:15" x14ac:dyDescent="0.25">
      <c r="B42" s="25">
        <v>11</v>
      </c>
      <c r="C42" s="26" t="s">
        <v>85</v>
      </c>
    </row>
    <row r="43" spans="2:15" x14ac:dyDescent="0.25">
      <c r="B43" s="25"/>
      <c r="C43" s="34" t="s">
        <v>86</v>
      </c>
    </row>
    <row r="44" spans="2:15" x14ac:dyDescent="0.25">
      <c r="B44" s="25"/>
      <c r="C44" s="34" t="s">
        <v>87</v>
      </c>
    </row>
    <row r="45" spans="2:15" x14ac:dyDescent="0.25">
      <c r="B45" s="25">
        <v>12</v>
      </c>
      <c r="C45" s="26" t="s">
        <v>88</v>
      </c>
    </row>
    <row r="46" spans="2:15" x14ac:dyDescent="0.25">
      <c r="B46" s="25">
        <v>13</v>
      </c>
      <c r="C46" s="26" t="s">
        <v>89</v>
      </c>
    </row>
    <row r="47" spans="2:15" x14ac:dyDescent="0.25">
      <c r="B47" s="25">
        <v>14</v>
      </c>
      <c r="C47" s="26" t="s">
        <v>90</v>
      </c>
    </row>
    <row r="48" spans="2:15" x14ac:dyDescent="0.25">
      <c r="B48" s="25">
        <v>15</v>
      </c>
      <c r="C48" s="26" t="s">
        <v>91</v>
      </c>
    </row>
    <row r="49" spans="2:3" x14ac:dyDescent="0.25">
      <c r="B49" s="25">
        <v>16</v>
      </c>
      <c r="C49" t="s">
        <v>92</v>
      </c>
    </row>
    <row r="50" spans="2:3" x14ac:dyDescent="0.25">
      <c r="B50" s="25">
        <v>17</v>
      </c>
      <c r="C50" s="26" t="s">
        <v>93</v>
      </c>
    </row>
    <row r="51" spans="2:3" x14ac:dyDescent="0.25">
      <c r="C51" s="26" t="s">
        <v>94</v>
      </c>
    </row>
    <row r="52" spans="2:3" x14ac:dyDescent="0.25">
      <c r="B52" s="25">
        <v>18</v>
      </c>
      <c r="C52" s="26" t="s">
        <v>95</v>
      </c>
    </row>
    <row r="53" spans="2:3" x14ac:dyDescent="0.25">
      <c r="B53" s="25">
        <v>19</v>
      </c>
      <c r="C53" s="26" t="s">
        <v>96</v>
      </c>
    </row>
    <row r="54" spans="2:3" x14ac:dyDescent="0.25">
      <c r="C54" s="26" t="s">
        <v>97</v>
      </c>
    </row>
    <row r="55" spans="2:3" x14ac:dyDescent="0.25">
      <c r="B55" s="25">
        <v>20</v>
      </c>
      <c r="C55" s="26" t="s">
        <v>98</v>
      </c>
    </row>
    <row r="56" spans="2:3" x14ac:dyDescent="0.25">
      <c r="B56" s="25"/>
      <c r="C56" s="26"/>
    </row>
  </sheetData>
  <autoFilter ref="A2:AD2" xr:uid="{29B4A9C3-4047-4A3B-A6B4-7E39E2E9F1B1}"/>
  <mergeCells count="1">
    <mergeCell ref="H31:L31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950D7-83DE-4833-B538-62F1B0E4216F}">
  <sheetPr codeName="Sheet2"/>
  <dimension ref="B2:BA107"/>
  <sheetViews>
    <sheetView showGridLines="0" workbookViewId="0">
      <selection sqref="A1:AB25"/>
    </sheetView>
  </sheetViews>
  <sheetFormatPr defaultRowHeight="15" x14ac:dyDescent="0.25"/>
  <cols>
    <col min="2" max="3" width="3.7109375" customWidth="1"/>
    <col min="4" max="4" width="11.7109375" customWidth="1"/>
    <col min="5" max="26" width="3.7109375" customWidth="1"/>
    <col min="28" max="28" width="16.5703125" customWidth="1"/>
    <col min="29" max="29" width="4.140625" bestFit="1" customWidth="1"/>
    <col min="30" max="30" width="7.7109375" bestFit="1" customWidth="1"/>
    <col min="31" max="31" width="6" bestFit="1" customWidth="1"/>
    <col min="32" max="32" width="4" bestFit="1" customWidth="1"/>
    <col min="34" max="34" width="10.28515625" bestFit="1" customWidth="1"/>
    <col min="35" max="35" width="5.140625" bestFit="1" customWidth="1"/>
    <col min="36" max="36" width="4" bestFit="1" customWidth="1"/>
    <col min="37" max="37" width="8" bestFit="1" customWidth="1"/>
    <col min="38" max="39" width="7" bestFit="1" customWidth="1"/>
    <col min="40" max="40" width="6" bestFit="1" customWidth="1"/>
    <col min="41" max="41" width="9" bestFit="1" customWidth="1"/>
    <col min="42" max="42" width="9" customWidth="1"/>
    <col min="43" max="43" width="10" bestFit="1" customWidth="1"/>
    <col min="44" max="45" width="8" bestFit="1" customWidth="1"/>
    <col min="46" max="46" width="8.7109375" customWidth="1"/>
    <col min="47" max="47" width="8" bestFit="1" customWidth="1"/>
    <col min="49" max="52" width="3" bestFit="1" customWidth="1"/>
    <col min="53" max="53" width="8" bestFit="1" customWidth="1"/>
  </cols>
  <sheetData>
    <row r="2" spans="2:26" x14ac:dyDescent="0.25">
      <c r="B2" s="1" t="s">
        <v>99</v>
      </c>
    </row>
    <row r="5" spans="2:26" x14ac:dyDescent="0.25">
      <c r="B5" s="2">
        <v>1</v>
      </c>
      <c r="C5" s="2">
        <v>2</v>
      </c>
      <c r="D5" s="2">
        <v>3</v>
      </c>
      <c r="E5" s="2">
        <v>4</v>
      </c>
      <c r="F5" s="2">
        <v>5</v>
      </c>
      <c r="G5" s="2">
        <v>6</v>
      </c>
      <c r="H5" s="2">
        <v>7</v>
      </c>
      <c r="I5" s="2">
        <v>8</v>
      </c>
      <c r="J5" s="2">
        <v>9</v>
      </c>
      <c r="K5" s="2">
        <v>10</v>
      </c>
      <c r="L5" s="2">
        <v>11</v>
      </c>
      <c r="M5" s="2">
        <v>12</v>
      </c>
      <c r="N5" s="2">
        <v>13</v>
      </c>
      <c r="O5" s="2">
        <v>14</v>
      </c>
      <c r="P5" s="2">
        <v>15</v>
      </c>
      <c r="Q5" s="2">
        <v>16</v>
      </c>
      <c r="R5" s="2">
        <v>17</v>
      </c>
      <c r="S5" s="2">
        <v>18</v>
      </c>
      <c r="T5" s="2">
        <v>19</v>
      </c>
      <c r="U5" s="2">
        <v>20</v>
      </c>
      <c r="V5" s="2">
        <v>21</v>
      </c>
      <c r="W5" s="2">
        <v>22</v>
      </c>
      <c r="X5" s="2">
        <v>23</v>
      </c>
      <c r="Y5" s="2">
        <v>24</v>
      </c>
      <c r="Z5" s="2">
        <v>25</v>
      </c>
    </row>
    <row r="6" spans="2:26" ht="26.25" x14ac:dyDescent="0.4">
      <c r="B6" s="6" t="s">
        <v>100</v>
      </c>
      <c r="C6" s="6" t="s">
        <v>101</v>
      </c>
      <c r="D6" s="6">
        <v>2</v>
      </c>
      <c r="E6" s="6">
        <v>3</v>
      </c>
      <c r="F6" s="6">
        <v>0</v>
      </c>
      <c r="G6" s="6">
        <v>8</v>
      </c>
      <c r="H6" s="6">
        <v>1</v>
      </c>
      <c r="I6" s="6">
        <v>9</v>
      </c>
      <c r="J6" s="6">
        <v>8</v>
      </c>
      <c r="K6" s="6">
        <v>5</v>
      </c>
      <c r="L6" s="6" t="s">
        <v>102</v>
      </c>
      <c r="M6" s="6" t="s">
        <v>103</v>
      </c>
      <c r="N6" s="6">
        <v>1</v>
      </c>
      <c r="O6" s="6">
        <v>2</v>
      </c>
      <c r="P6" s="6">
        <v>0</v>
      </c>
      <c r="Q6" s="6">
        <v>7</v>
      </c>
      <c r="R6" s="6">
        <v>1</v>
      </c>
      <c r="S6" s="6">
        <v>9</v>
      </c>
      <c r="T6" s="6">
        <v>9</v>
      </c>
      <c r="U6" s="6">
        <v>0</v>
      </c>
      <c r="V6" s="6" t="s">
        <v>102</v>
      </c>
      <c r="W6" s="6">
        <v>2</v>
      </c>
      <c r="X6" s="6" t="s">
        <v>102</v>
      </c>
      <c r="Y6" s="6" t="s">
        <v>100</v>
      </c>
      <c r="Z6" s="6" t="s">
        <v>104</v>
      </c>
    </row>
    <row r="95" ht="15" customHeight="1" x14ac:dyDescent="0.25"/>
    <row r="97" spans="27:53" hidden="1" x14ac:dyDescent="0.25"/>
    <row r="98" spans="27:53" hidden="1" x14ac:dyDescent="0.25"/>
    <row r="99" spans="27:53" hidden="1" x14ac:dyDescent="0.25">
      <c r="AA99" t="s">
        <v>105</v>
      </c>
      <c r="AB99" t="s">
        <v>106</v>
      </c>
    </row>
    <row r="100" spans="27:53" hidden="1" x14ac:dyDescent="0.25">
      <c r="AA100" t="s">
        <v>107</v>
      </c>
      <c r="AB100">
        <v>1</v>
      </c>
      <c r="AC100">
        <v>2</v>
      </c>
      <c r="AD100">
        <v>3</v>
      </c>
      <c r="AE100">
        <v>4</v>
      </c>
      <c r="AF100">
        <v>5</v>
      </c>
      <c r="AG100">
        <v>6</v>
      </c>
      <c r="AH100">
        <v>7</v>
      </c>
      <c r="AI100">
        <v>8</v>
      </c>
      <c r="AJ100">
        <v>9</v>
      </c>
      <c r="AK100">
        <v>10</v>
      </c>
      <c r="AL100">
        <v>11</v>
      </c>
      <c r="AM100">
        <v>12</v>
      </c>
      <c r="AN100">
        <v>13</v>
      </c>
      <c r="AO100">
        <v>14</v>
      </c>
      <c r="AP100">
        <v>15</v>
      </c>
      <c r="AQ100">
        <v>16</v>
      </c>
      <c r="AR100">
        <v>17</v>
      </c>
      <c r="AS100">
        <v>18</v>
      </c>
      <c r="AT100">
        <v>19</v>
      </c>
      <c r="AU100">
        <v>20</v>
      </c>
      <c r="AV100">
        <v>21</v>
      </c>
      <c r="AW100">
        <v>22</v>
      </c>
      <c r="AX100">
        <v>23</v>
      </c>
      <c r="AY100">
        <v>24</v>
      </c>
      <c r="AZ100">
        <v>25</v>
      </c>
      <c r="BA100">
        <v>26</v>
      </c>
    </row>
    <row r="101" spans="27:53" hidden="1" x14ac:dyDescent="0.25">
      <c r="AB101" s="7">
        <f>Soal!D3</f>
        <v>33066</v>
      </c>
      <c r="AC101">
        <f>Soal!E3</f>
        <v>34</v>
      </c>
      <c r="AD101" t="str">
        <f>Soal!F4</f>
        <v>Tetap</v>
      </c>
      <c r="AE101" t="str">
        <f>Soal!G3</f>
        <v>Kawin</v>
      </c>
      <c r="AF101">
        <f>Soal!H3</f>
        <v>2</v>
      </c>
      <c r="AG101" t="str">
        <f>Soal!I3</f>
        <v>Hindu</v>
      </c>
      <c r="AH101" s="7">
        <f>Soal!J3</f>
        <v>33915</v>
      </c>
      <c r="AI101">
        <f>Soal!K3</f>
        <v>388</v>
      </c>
      <c r="AJ101">
        <f>Soal!M3</f>
        <v>3</v>
      </c>
      <c r="AK101">
        <f>Soal!N3</f>
        <v>1911000</v>
      </c>
      <c r="AL101">
        <f>Soal!O3</f>
        <v>319995</v>
      </c>
      <c r="AM101">
        <f>Soal!P3</f>
        <v>382200</v>
      </c>
      <c r="AN101">
        <f>Soal!Q3</f>
        <v>95550</v>
      </c>
      <c r="AO101">
        <f>Soal!R3</f>
        <v>171990</v>
      </c>
      <c r="AP101">
        <f>Soal!S3</f>
        <v>191100</v>
      </c>
      <c r="AQ101">
        <f>Soal!T3</f>
        <v>196833.00000000003</v>
      </c>
      <c r="AR101">
        <f>Soal!U3</f>
        <v>3269000</v>
      </c>
      <c r="AS101">
        <f>Soal!V3</f>
        <v>76440</v>
      </c>
      <c r="AT101">
        <f>Soal!W3</f>
        <v>3192000</v>
      </c>
      <c r="AU101">
        <f>Soal!X3</f>
        <v>31</v>
      </c>
      <c r="AV101">
        <f>Soal!Y3</f>
        <v>1</v>
      </c>
      <c r="AW101">
        <f>Soal!Z3</f>
        <v>2</v>
      </c>
      <c r="AX101">
        <f>Soal!AA3</f>
        <v>0</v>
      </c>
      <c r="AY101">
        <f>Soal!AB3</f>
        <v>0</v>
      </c>
      <c r="AZ101">
        <f>Soal!AC3</f>
        <v>2</v>
      </c>
      <c r="BA101">
        <f>Soal!AD3</f>
        <v>3192000</v>
      </c>
    </row>
    <row r="102" spans="27:53" hidden="1" x14ac:dyDescent="0.25">
      <c r="AB102" s="7">
        <f>Soal!D9</f>
        <v>37841</v>
      </c>
      <c r="AC102">
        <f>Soal!E9</f>
        <v>21</v>
      </c>
      <c r="AD102" t="str">
        <f>Soal!F10</f>
        <v>Kontrak</v>
      </c>
      <c r="AE102" t="str">
        <f>Soal!G10</f>
        <v>Janda</v>
      </c>
      <c r="AF102">
        <f>Soal!H10</f>
        <v>3</v>
      </c>
      <c r="AG102" t="str">
        <f>Soal!I9</f>
        <v>Nasrani</v>
      </c>
      <c r="AH102" s="7">
        <f>Soal!J9</f>
        <v>38655</v>
      </c>
      <c r="AI102">
        <f>Soal!K9</f>
        <v>233</v>
      </c>
      <c r="AJ102">
        <f>Soal!M9</f>
        <v>1</v>
      </c>
      <c r="AK102">
        <f>Soal!N9</f>
        <v>1844115</v>
      </c>
      <c r="AL102">
        <f>Soal!O9</f>
        <v>0</v>
      </c>
      <c r="AM102">
        <f>Soal!P9</f>
        <v>368823</v>
      </c>
      <c r="AN102">
        <f>Soal!Q9</f>
        <v>0</v>
      </c>
      <c r="AO102">
        <f>Soal!R9</f>
        <v>92205.75</v>
      </c>
      <c r="AP102">
        <f>Soal!S9</f>
        <v>110646.9</v>
      </c>
      <c r="AQ102">
        <f>Soal!T9</f>
        <v>188099.72999999998</v>
      </c>
      <c r="AR102">
        <f>Soal!U9</f>
        <v>2604000</v>
      </c>
      <c r="AS102">
        <f>Soal!V9</f>
        <v>36882.300000000003</v>
      </c>
      <c r="AT102">
        <f>Soal!W9</f>
        <v>2567000</v>
      </c>
      <c r="AU102">
        <f>Soal!X9</f>
        <v>25</v>
      </c>
      <c r="AV102">
        <f>Soal!Y9</f>
        <v>1</v>
      </c>
      <c r="AW102">
        <f>Soal!Z9</f>
        <v>0</v>
      </c>
      <c r="AX102">
        <f>Soal!AA9</f>
        <v>1</v>
      </c>
      <c r="AY102">
        <f>Soal!AB9</f>
        <v>1</v>
      </c>
      <c r="AZ102">
        <f>Soal!AC9</f>
        <v>2</v>
      </c>
      <c r="BA102">
        <f>Soal!AD9</f>
        <v>2567000</v>
      </c>
    </row>
    <row r="103" spans="27:53" hidden="1" x14ac:dyDescent="0.25">
      <c r="AB103" s="7">
        <f>Soal!D16</f>
        <v>36255</v>
      </c>
      <c r="AC103">
        <f>Soal!E17</f>
        <v>34</v>
      </c>
      <c r="AD103" t="str">
        <f>Soal!F16</f>
        <v>Kontrak</v>
      </c>
      <c r="AE103" t="str">
        <f>Soal!G17</f>
        <v>Duda</v>
      </c>
      <c r="AF103">
        <f>Soal!H17</f>
        <v>4</v>
      </c>
      <c r="AG103" t="str">
        <f>Soal!I16</f>
        <v>Hindu</v>
      </c>
      <c r="AH103" s="7">
        <f>Soal!J17</f>
        <v>33859</v>
      </c>
      <c r="AI103">
        <f>Soal!K17</f>
        <v>390</v>
      </c>
      <c r="AJ103">
        <f>Soal!M17</f>
        <v>3</v>
      </c>
      <c r="AK103">
        <f>Soal!N17</f>
        <v>1223040</v>
      </c>
      <c r="AL103">
        <f>Soal!O17</f>
        <v>0</v>
      </c>
      <c r="AM103">
        <f>Soal!P17</f>
        <v>366912</v>
      </c>
      <c r="AN103">
        <f>Soal!Q17</f>
        <v>61152</v>
      </c>
      <c r="AO103">
        <f>Soal!R17</f>
        <v>110073.59999999999</v>
      </c>
      <c r="AP103">
        <f>Soal!S17</f>
        <v>128419.2</v>
      </c>
      <c r="AQ103">
        <f>Soal!T17</f>
        <v>124750.07999999999</v>
      </c>
      <c r="AR103">
        <f>Soal!U17</f>
        <v>2015000</v>
      </c>
      <c r="AS103">
        <f>Soal!V17</f>
        <v>48921.599999999999</v>
      </c>
      <c r="AT103">
        <f>Soal!W17</f>
        <v>1966000</v>
      </c>
      <c r="AU103">
        <f>Soal!X17</f>
        <v>19</v>
      </c>
      <c r="AV103">
        <f>Soal!Y17</f>
        <v>1</v>
      </c>
      <c r="AW103">
        <f>Soal!Z17</f>
        <v>0</v>
      </c>
      <c r="AX103">
        <f>Soal!AA17</f>
        <v>1</v>
      </c>
      <c r="AY103">
        <f>Soal!AB17</f>
        <v>1</v>
      </c>
      <c r="AZ103">
        <f>Soal!AC17</f>
        <v>1</v>
      </c>
      <c r="BA103">
        <f>Soal!AD17</f>
        <v>1966000</v>
      </c>
    </row>
    <row r="104" spans="27:53" hidden="1" x14ac:dyDescent="0.25"/>
    <row r="105" spans="27:53" hidden="1" x14ac:dyDescent="0.25">
      <c r="AB105" t="str">
        <f>"A"&amp;IFERROR(DEC2HEX((AB101+AB102+AB103)/100),"AAA")</f>
        <v>A42F</v>
      </c>
      <c r="AC105" t="str">
        <f>"B"&amp;IFERROR(DEC2HEX(AC101+AC102+AC103),"AAA")</f>
        <v>B59</v>
      </c>
      <c r="AD105" t="str">
        <f>UPPER(LEFT(AD101)&amp;RIGHT(AD101)&amp;LEFT(AD102)&amp;LEFT(AD103))</f>
        <v>TPKK</v>
      </c>
      <c r="AE105" t="str">
        <f>UPPER(LEFT(AE101)&amp;RIGHT(AE101)&amp;LEFT(AE102)&amp;LEFT(AE103))</f>
        <v>KNJD</v>
      </c>
      <c r="AF105" t="str">
        <f>"C"&amp;IFERROR(DEC2HEX(AF101+AF102+AF103),"AA")</f>
        <v>C9</v>
      </c>
      <c r="AG105" t="str">
        <f>UPPER(LEFT(AG101)&amp;RIGHT(AG101)&amp;LEFT(AG102)&amp;LEFT(AG103))</f>
        <v>HUNH</v>
      </c>
      <c r="AH105" t="str">
        <f>"A"&amp;IFERROR(DEC2HEX((AH101+AH102+AH103)/100),"AAA")</f>
        <v>A428</v>
      </c>
      <c r="AI105" t="str">
        <f>"B"&amp;IFERROR(DEC2HEX(AI101+AI102+AI103),"AA")</f>
        <v>B3F3</v>
      </c>
      <c r="AJ105" t="str">
        <f>"D"&amp;IFERROR(DEC2HEX(AJ101+AJ102+AJ103),"AAA")</f>
        <v>D7</v>
      </c>
      <c r="AK105" t="str">
        <f>"A"&amp;IFERROR(DEC2HEX((AK101+AK102+AK103)/100),"AAA")</f>
        <v>AC275</v>
      </c>
      <c r="AL105" t="str">
        <f>"B"&amp;IFERROR(DEC2HEX((AL101+AL102+AL103)/100),"AAA")</f>
        <v>BC7F</v>
      </c>
      <c r="AM105" t="str">
        <f>"C"&amp;IFERROR(DEC2HEX((AM101+AM102+AM103)/100),"AAA")</f>
        <v>C2BAB</v>
      </c>
      <c r="AN105" t="str">
        <f>"D"&amp;IFERROR(DEC2HEX((AN101+AN102+AN103)/100),"AAA")</f>
        <v>D61F</v>
      </c>
      <c r="AO105" t="str">
        <f>"E"&amp;IFERROR(DEC2HEX((AO101+AO102+AO103)/1000),"AAA")</f>
        <v>E176</v>
      </c>
      <c r="AP105" t="str">
        <f>"E"&amp;IFERROR(DEC2HEX((AP101+AP102+AP103)/10000),"AAA")</f>
        <v>E2B</v>
      </c>
      <c r="AQ105" t="str">
        <f>"E"&amp;IFERROR(DEC2HEX((AQ101+AQ102+AQ103)/1000),"AAA")</f>
        <v>E1FD</v>
      </c>
      <c r="AR105" t="str">
        <f>"E"&amp;IFERROR(DEC2HEX((AR101+AR102+AR103)),"AAA")</f>
        <v>E785C80</v>
      </c>
      <c r="AS105" t="str">
        <f>"E"&amp;IFERROR(DEC2HEX((AS101+AS102+AS103)/1000),"AAA")</f>
        <v>EA2</v>
      </c>
      <c r="AT105" t="str">
        <f>"E"&amp;IFERROR(DEC2HEX((AT101+AT102+AT103)),"AAA")</f>
        <v>E75DFC8</v>
      </c>
      <c r="AU105" t="str">
        <f>"Z"&amp;IFERROR(DEC2HEX(SUM(AU101:AZ103)),"CFD")&amp;--(AT101=BA101)</f>
        <v>Z591</v>
      </c>
    </row>
    <row r="106" spans="27:53" hidden="1" x14ac:dyDescent="0.25">
      <c r="AB106" t="str">
        <f ca="1">DEC2HEX(IFERROR(SEARCH("DAT",_xlfn.FORMULATEXT(Soal!D3)),99)*100)</f>
        <v>C8</v>
      </c>
      <c r="AC106" t="str">
        <f ca="1">DEC2HEX(IFERROR(SEARCH("DAT",_xlfn.FORMULATEXT(Soal!E3)),99)*10)</f>
        <v>14</v>
      </c>
      <c r="AD106" t="str">
        <f ca="1">DEC2HEX(IF(OR(ISERROR(SEARCH("IF",_xlfn.FORMULATEXT(Soal!F3))),ISERROR(SEARCH("SW",_xlfn.FORMULATEXT(Soal!F3)))),99,2)*5)&amp;DEC2HEX(IF(ISERROR(SEARCH("MI",_xlfn.FORMULATEXT(Soal!F3))),99,5)*5)</f>
        <v>1EF19</v>
      </c>
      <c r="AE106" t="str">
        <f ca="1">DEC2HEX(IF(OR(ISERROR(SEARCH("IF",_xlfn.FORMULATEXT(Soal!G3))),ISERROR(SEARCH("SW",_xlfn.FORMULATEXT(Soal!G3)))),99,1)*10)&amp;DEC2HEX(IF(ISERROR(SEARCH("LEF",_xlfn.FORMULATEXT(Soal!G3))),99,2)*100)</f>
        <v>3DEC8</v>
      </c>
      <c r="AF106" t="str">
        <f ca="1">DEC2HEX(IF(ISERROR(SEARCH("MID",_xlfn.FORMULATEXT(Soal!H3))),99,2)*10)&amp;--ISNUMBER('Arti Kode Pagawai'!AF101)</f>
        <v>141</v>
      </c>
      <c r="AG106" t="str">
        <f ca="1">DEC2HEX(IF(ISERROR(SEARCH("MID",_xlfn.FORMULATEXT(Soal!I3))),99,2)*100)</f>
        <v>C8</v>
      </c>
      <c r="AH106" t="str">
        <f ca="1">DEC2HEX(IF(ISERROR(SEARCH("DAT",_xlfn.FORMULATEXT(Soal!J3))),99,2)*15)</f>
        <v>1E</v>
      </c>
      <c r="AI106" t="str">
        <f ca="1">DEC2HEX(IFERROR(SEARCH("DAT",_xlfn.FORMULATEXT(Soal!K3)),99)*20)</f>
        <v>28</v>
      </c>
      <c r="AJ106" t="str">
        <f ca="1">DEC2HEX(IF(ISERROR(SEARCH("IF",_xlfn.FORMULATEXT(Soal!M3))),99,2)*5)</f>
        <v>A</v>
      </c>
      <c r="AK106" t="str">
        <f ca="1">DEC2HEX(IF(ISERROR(SEARCH("MI",_xlfn.FORMULATEXT(Soal!N3))),99,2)*10)</f>
        <v>14</v>
      </c>
      <c r="AL106" t="str">
        <f ca="1">DEC2HEX(IF(ISERROR(SEARCH("IF",_xlfn.FORMULATEXT(Soal!O3))),99,2)*8)</f>
        <v>10</v>
      </c>
      <c r="AM106" t="str">
        <f ca="1">DEC2HEX(IF(ISERROR(SEARCH("IN",_xlfn.FORMULATEXT(Soal!P3))),99,2)*9)</f>
        <v>12</v>
      </c>
      <c r="AN106" t="str">
        <f ca="1">DEC2HEX(IF(ISERROR(SEARCH("IF",_xlfn.FORMULATEXT(Soal!Q3))),99,2)*10)</f>
        <v>14</v>
      </c>
      <c r="AO106" t="str">
        <f ca="1">DEC2HEX(IF(ISERROR(SEARCH("LOOK",_xlfn.FORMULATEXT(Soal!R3))),99,3)*11)</f>
        <v>21</v>
      </c>
      <c r="AP106" t="str">
        <f ca="1">DEC2HEX(IF(ISERROR(SEARCH("LOOK",_xlfn.FORMULATEXT(Soal!S3))),99,3)*12)</f>
        <v>24</v>
      </c>
      <c r="AQ106" t="str">
        <f ca="1">DEC2HEX(IF(ISERROR(SEARCH("IF",_xlfn.FORMULATEXT(Soal!T3))),99,2)*13)</f>
        <v>1A</v>
      </c>
      <c r="AR106" t="str">
        <f ca="1">DEC2HEX(IF(ISERROR(SEARCH("ROUND",_xlfn.FORMULATEXT(Soal!U3))),99,2)*14)</f>
        <v>1C</v>
      </c>
      <c r="AS106" t="str">
        <f ca="1">DEC2HEX(IF(ISERROR(SEARCH("LOOK",_xlfn.FORMULATEXT(Soal!V3))),99,3)*15)</f>
        <v>2D</v>
      </c>
      <c r="AT106" t="str">
        <f ca="1">DEC2HEX(IF(ISERROR(SEARCH("ROUND",_xlfn.FORMULATEXT(Soal!W3))),99,2)*16)</f>
        <v>20</v>
      </c>
      <c r="AU106" t="str">
        <f ca="1">DEC2HEX(IF(ISERROR(SEARCH("QUO",_xlfn.FORMULATEXT(Soal!X3))),99,2)*17)&amp;DEC2HEX(IF(ISERROR(SEARCH("SUM",_xlfn.FORMULATEXT(Soal!Z3))),99,4)*2)</f>
        <v>228</v>
      </c>
    </row>
    <row r="107" spans="27:53" hidden="1" x14ac:dyDescent="0.25">
      <c r="AB107" t="str">
        <f ca="1">AA100&amp;"|"&amp;AB106&amp;"-"&amp;AB105&amp;";"&amp;AC106&amp;"-"&amp;AC105&amp;";"&amp;AD106&amp;"-"&amp;AD105&amp;";"&amp;AE106&amp;"-"&amp;AE105&amp;";"&amp;AF106&amp;"-"&amp;AF105&amp;";"&amp;AG106&amp;"-"&amp;AG105&amp;";"&amp;AH106&amp;"-"&amp;AH105&amp;";"&amp;AI106&amp;"-"&amp;AI105&amp;";"&amp;AJ106&amp;"-"&amp;AJ105&amp;";"&amp;AK106&amp;"-"&amp;AK105&amp;";"&amp;AL106&amp;"-"&amp;AL105&amp;";"&amp;AM106&amp;"-"&amp;AM105&amp;";"&amp;AN106&amp;"-"&amp;AN105&amp;";"&amp;AO106&amp;"-"&amp;AO105&amp;";"&amp;AP106&amp;"-"&amp;AP105&amp;";"&amp;AQ106&amp;"-"&amp;AQ105&amp;";"&amp;AR106&amp;"-"&amp;AR105&amp;";"&amp;AS106&amp;"-"&amp;AS105&amp;";"&amp;AT106&amp;"-"&amp;AT105&amp;";"&amp;AU106&amp;"-"&amp;AU105</f>
        <v>AS2|C8-A42F;14-B59;1EF19-TPKK;3DEC8-KNJD;141-C9;C8-HUNH;1E-A428;28-B3F3;A-D7;14-AC275;10-BC7F;12-C2BAB;14-D61F;21-E176;24-E2B;1A-E1FD;1C-E785C80;2D-EA2;20-E75DFC8;228-Z591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F64BDD-5C79-4D2E-9AFC-3702324DD3B7}">
  <sheetPr codeName="Sheet4"/>
  <dimension ref="B2:Z6"/>
  <sheetViews>
    <sheetView showGridLines="0" workbookViewId="0">
      <selection activeCell="L34" sqref="L34"/>
    </sheetView>
  </sheetViews>
  <sheetFormatPr defaultRowHeight="15" x14ac:dyDescent="0.25"/>
  <cols>
    <col min="2" max="26" width="3.7109375" customWidth="1"/>
  </cols>
  <sheetData>
    <row r="2" spans="2:26" x14ac:dyDescent="0.25">
      <c r="B2" s="1" t="s">
        <v>99</v>
      </c>
    </row>
    <row r="5" spans="2:26" x14ac:dyDescent="0.25">
      <c r="B5" s="2">
        <v>1</v>
      </c>
      <c r="C5" s="2">
        <v>2</v>
      </c>
      <c r="D5" s="2">
        <v>3</v>
      </c>
      <c r="E5" s="2">
        <v>4</v>
      </c>
      <c r="F5" s="2">
        <v>5</v>
      </c>
      <c r="G5" s="2">
        <v>6</v>
      </c>
      <c r="H5" s="2">
        <v>7</v>
      </c>
      <c r="I5" s="2">
        <v>8</v>
      </c>
      <c r="J5" s="2">
        <v>9</v>
      </c>
      <c r="K5" s="2">
        <v>10</v>
      </c>
      <c r="L5" s="2">
        <v>11</v>
      </c>
      <c r="M5" s="2">
        <v>12</v>
      </c>
      <c r="N5" s="2">
        <v>13</v>
      </c>
      <c r="O5" s="2">
        <v>14</v>
      </c>
      <c r="P5" s="2">
        <v>15</v>
      </c>
      <c r="Q5" s="2">
        <v>16</v>
      </c>
      <c r="R5" s="2">
        <v>17</v>
      </c>
      <c r="S5" s="2">
        <v>18</v>
      </c>
      <c r="T5" s="2">
        <v>19</v>
      </c>
      <c r="U5" s="2">
        <v>20</v>
      </c>
      <c r="V5" s="2">
        <v>21</v>
      </c>
      <c r="W5" s="2">
        <v>22</v>
      </c>
      <c r="X5" s="2">
        <v>23</v>
      </c>
      <c r="Y5" s="2">
        <v>24</v>
      </c>
      <c r="Z5" s="2">
        <v>25</v>
      </c>
    </row>
    <row r="6" spans="2:26" ht="26.25" x14ac:dyDescent="0.4">
      <c r="B6" s="6" t="s">
        <v>100</v>
      </c>
      <c r="C6" s="6" t="s">
        <v>101</v>
      </c>
      <c r="D6" s="6">
        <v>2</v>
      </c>
      <c r="E6" s="6">
        <v>3</v>
      </c>
      <c r="F6" s="6">
        <v>0</v>
      </c>
      <c r="G6" s="6">
        <v>8</v>
      </c>
      <c r="H6" s="6">
        <v>1</v>
      </c>
      <c r="I6" s="6">
        <v>9</v>
      </c>
      <c r="J6" s="6">
        <v>8</v>
      </c>
      <c r="K6" s="6">
        <v>5</v>
      </c>
      <c r="L6" s="6" t="s">
        <v>102</v>
      </c>
      <c r="M6" s="6" t="s">
        <v>103</v>
      </c>
      <c r="N6" s="6">
        <v>1</v>
      </c>
      <c r="O6" s="6">
        <v>2</v>
      </c>
      <c r="P6" s="6">
        <v>0</v>
      </c>
      <c r="Q6" s="6">
        <v>7</v>
      </c>
      <c r="R6" s="6">
        <v>1</v>
      </c>
      <c r="S6" s="6">
        <v>9</v>
      </c>
      <c r="T6" s="6">
        <v>9</v>
      </c>
      <c r="U6" s="6">
        <v>0</v>
      </c>
      <c r="V6" s="6" t="s">
        <v>102</v>
      </c>
      <c r="W6" s="6">
        <v>2</v>
      </c>
      <c r="X6" s="6" t="s">
        <v>102</v>
      </c>
      <c r="Y6" s="6" t="s">
        <v>100</v>
      </c>
      <c r="Z6" s="6" t="s">
        <v>104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F0BC33-BB22-4811-878B-DB4B1769851C}">
  <sheetPr codeName="Sheet3"/>
  <dimension ref="J3:J11"/>
  <sheetViews>
    <sheetView showGridLines="0" workbookViewId="0">
      <selection activeCell="O27" sqref="O27"/>
    </sheetView>
  </sheetViews>
  <sheetFormatPr defaultRowHeight="15" x14ac:dyDescent="0.25"/>
  <sheetData>
    <row r="3" spans="10:10" ht="36" x14ac:dyDescent="0.55000000000000004">
      <c r="J3" s="8" t="s">
        <v>108</v>
      </c>
    </row>
    <row r="4" spans="10:10" ht="24" x14ac:dyDescent="0.4">
      <c r="J4" s="9" t="s">
        <v>109</v>
      </c>
    </row>
    <row r="11" spans="10:10" x14ac:dyDescent="0.25">
      <c r="J11" s="10" t="s">
        <v>110</v>
      </c>
    </row>
  </sheetData>
  <hyperlinks>
    <hyperlink ref="J11" r:id="rId1" xr:uid="{719C0FD2-B9DB-4F34-BA0E-8DB90931DE9D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Soal</vt:lpstr>
      <vt:lpstr>Penjelasan Kode</vt:lpstr>
      <vt:lpstr>XL-Test</vt:lpstr>
      <vt:lpstr>kode_jawaban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andi setiadi</dc:creator>
  <cp:keywords/>
  <dc:description/>
  <cp:lastModifiedBy>Siti Rukoyah Al Munazalah</cp:lastModifiedBy>
  <cp:revision/>
  <dcterms:created xsi:type="dcterms:W3CDTF">2025-05-02T11:18:49Z</dcterms:created>
  <dcterms:modified xsi:type="dcterms:W3CDTF">2026-06-09T04:33:46Z</dcterms:modified>
  <cp:category/>
  <cp:contentStatus/>
</cp:coreProperties>
</file>