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oehm/Seafile/LEAF/SUV/SUV_data/SUV_calc/"/>
    </mc:Choice>
  </mc:AlternateContent>
  <xr:revisionPtr revIDLastSave="0" documentId="13_ncr:1_{ABBE9235-516E-4845-9C98-1B7D51840225}" xr6:coauthVersionLast="47" xr6:coauthVersionMax="47" xr10:uidLastSave="{00000000-0000-0000-0000-000000000000}"/>
  <bookViews>
    <workbookView xWindow="1840" yWindow="3180" windowWidth="33600" windowHeight="17820" xr2:uid="{F07EA673-5F4E-D24E-B9E0-000308BAE1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9" i="1"/>
  <c r="H16" i="1"/>
  <c r="I16" i="1" s="1"/>
  <c r="B26" i="1"/>
  <c r="H7" i="1"/>
  <c r="H8" i="1"/>
  <c r="H17" i="1"/>
  <c r="I17" i="1" s="1"/>
  <c r="H18" i="1"/>
  <c r="I18" i="1" s="1"/>
  <c r="H12" i="1"/>
  <c r="I12" i="1" s="1"/>
  <c r="H13" i="1"/>
  <c r="I13" i="1" s="1"/>
  <c r="H9" i="1"/>
  <c r="I9" i="1" s="1"/>
  <c r="H11" i="1"/>
  <c r="I11" i="1" s="1"/>
  <c r="H15" i="1"/>
  <c r="I15" i="1" s="1"/>
  <c r="H14" i="1"/>
  <c r="I14" i="1" s="1"/>
  <c r="H10" i="1"/>
  <c r="I10" i="1" s="1"/>
  <c r="B29" i="1" l="1"/>
  <c r="B30" i="1" s="1"/>
  <c r="I7" i="1"/>
  <c r="B22" i="1" s="1"/>
  <c r="B23" i="1" s="1"/>
  <c r="C26" i="1"/>
  <c r="B27" i="1" l="1"/>
  <c r="C27" i="1" s="1"/>
</calcChain>
</file>

<file path=xl/sharedStrings.xml><?xml version="1.0" encoding="utf-8"?>
<sst xmlns="http://schemas.openxmlformats.org/spreadsheetml/2006/main" count="115" uniqueCount="68">
  <si>
    <t>Input Parameters</t>
  </si>
  <si>
    <t>Desired final volume (μL)</t>
  </si>
  <si>
    <t>Desired final concentration (mM)</t>
  </si>
  <si>
    <t>Lipid Information</t>
  </si>
  <si>
    <t>Lipid Name</t>
  </si>
  <si>
    <t>Stock Conc. (mg/mL)</t>
  </si>
  <si>
    <t>MW (g/mol)</t>
  </si>
  <si>
    <t>Mol %</t>
  </si>
  <si>
    <t>Volume needed (μL)</t>
  </si>
  <si>
    <t>Atto488-DOPE</t>
  </si>
  <si>
    <t>Solution Preparation</t>
  </si>
  <si>
    <t>Total lipid volume (μL)</t>
  </si>
  <si>
    <t>Chloroform to add (μL)</t>
  </si>
  <si>
    <t>Checks</t>
  </si>
  <si>
    <t>Total mol %</t>
  </si>
  <si>
    <t>Volume check</t>
  </si>
  <si>
    <t>Avanti Webpage</t>
  </si>
  <si>
    <t>MW resource</t>
  </si>
  <si>
    <t>18:1 Liss Rhod PE</t>
  </si>
  <si>
    <t>18:1 (Δ9-Cis) PC (DOPC)</t>
  </si>
  <si>
    <t>Note</t>
  </si>
  <si>
    <t>hygroscopic!</t>
  </si>
  <si>
    <t>Stability</t>
  </si>
  <si>
    <t>1 year</t>
  </si>
  <si>
    <t>cholesterol</t>
  </si>
  <si>
    <t>Chloroform:Methanol (95:5) at 5mg/mL</t>
  </si>
  <si>
    <t>16:0 PC (DPPC)</t>
  </si>
  <si>
    <t>soluble in ethanol and Chloroform:Methanol:Water (65:25:4) at 5mg/mL</t>
  </si>
  <si>
    <t>soluble in Chloroform:Methanol:Water (65:25:4) at 5mg/mL</t>
  </si>
  <si>
    <t>18:1 PS (DOPS)</t>
  </si>
  <si>
    <t xml:space="preserve">18:1 DGS-NTA </t>
  </si>
  <si>
    <t>18:1 (Δ9-Cis) PE (DOPE)</t>
  </si>
  <si>
    <t>18:1 PI (DOPI)</t>
  </si>
  <si>
    <t>24:1 SM</t>
  </si>
  <si>
    <t>18:1 CDP DG (DAG)</t>
  </si>
  <si>
    <t xml:space="preserve">Transition Temp (Tm) </t>
  </si>
  <si>
    <t>citation</t>
  </si>
  <si>
    <t>Total amount lipids (mg)</t>
  </si>
  <si>
    <t>final concentration mg/ml</t>
  </si>
  <si>
    <t>!!! Needs to be deactivated with 1N NaOH before trashing!</t>
  </si>
  <si>
    <r>
      <t xml:space="preserve">Loomis, C. R.; Shipley, G. G.; Small, D. M. The Phase Behavior of Hydrated Cholesterol. </t>
    </r>
    <r>
      <rPr>
        <i/>
        <sz val="12"/>
        <color theme="1"/>
        <rFont val="Arial"/>
        <family val="2"/>
      </rPr>
      <t>J Lipid Res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1979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20</t>
    </r>
    <r>
      <rPr>
        <sz val="12"/>
        <color theme="1"/>
        <rFont val="Arial"/>
        <family val="2"/>
      </rPr>
      <t xml:space="preserve"> (4), 525–535.</t>
    </r>
  </si>
  <si>
    <t>Notes</t>
  </si>
  <si>
    <t>Lipid Function</t>
  </si>
  <si>
    <t>Lipid Class</t>
  </si>
  <si>
    <t>Phosphatidylcholines (PC)</t>
  </si>
  <si>
    <t>Phosphatidylethanolamines (PE)</t>
  </si>
  <si>
    <t>Phosphatidylserines (PS)</t>
  </si>
  <si>
    <t>Phosphatidylinositols (PI)</t>
  </si>
  <si>
    <t>Sphingolipids</t>
  </si>
  <si>
    <t>Sterols</t>
  </si>
  <si>
    <t>Specialized/Functional</t>
  </si>
  <si>
    <t>Saturation</t>
  </si>
  <si>
    <t>Saturated</t>
  </si>
  <si>
    <t>Unsaturated</t>
  </si>
  <si>
    <t>Variable/Unknown</t>
  </si>
  <si>
    <t>Final mg</t>
  </si>
  <si>
    <t>1-Structural lipids</t>
  </si>
  <si>
    <t>2-Charged lipids (neg.)</t>
  </si>
  <si>
    <t>3-Specialized/Functional</t>
  </si>
  <si>
    <t>4-Fluorescent probes</t>
  </si>
  <si>
    <t>https://avantiresearch.com/product/790528</t>
  </si>
  <si>
    <t>https://avantiresearch.com/product/870520</t>
  </si>
  <si>
    <t>https://avantiresearch.com/product/860593</t>
  </si>
  <si>
    <t>https://avantiresearch.com/product/850149</t>
  </si>
  <si>
    <t>C16 Ceramide</t>
  </si>
  <si>
    <t>⚡ Very high Tm - not suitable for standard extrusion protocols (≤50°C). Consider avoiding or using specialized high-temperature methods.</t>
  </si>
  <si>
    <r>
      <t>Takahashi, H., Hayakawa, T., Makino, A. </t>
    </r>
    <r>
      <rPr>
        <i/>
        <sz val="12"/>
        <color rgb="FF222222"/>
        <rFont val="Arial"/>
        <family val="2"/>
      </rPr>
      <t>et al.</t>
    </r>
    <r>
      <rPr>
        <sz val="12"/>
        <color rgb="FF222222"/>
        <rFont val="Arial"/>
        <family val="2"/>
      </rPr>
      <t> Long chain ceramides raise the main phase transition of monounsaturated phospholipids to physiological temperature. </t>
    </r>
    <r>
      <rPr>
        <i/>
        <sz val="12"/>
        <color rgb="FF222222"/>
        <rFont val="Arial"/>
        <family val="2"/>
      </rPr>
      <t>Sci Rep</t>
    </r>
    <r>
      <rPr>
        <sz val="12"/>
        <color rgb="FF222222"/>
        <rFont val="Arial"/>
        <family val="2"/>
      </rPr>
      <t> </t>
    </r>
    <r>
      <rPr>
        <b/>
        <sz val="12"/>
        <color rgb="FF222222"/>
        <rFont val="Arial"/>
        <family val="2"/>
      </rPr>
      <t>12</t>
    </r>
    <r>
      <rPr>
        <sz val="12"/>
        <color rgb="FF222222"/>
        <rFont val="Arial"/>
        <family val="2"/>
      </rPr>
      <t>, 20803 (2022). https://doi.org/10.1038/s41598-022-25330-y</t>
    </r>
  </si>
  <si>
    <t>90–93,2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</si>
</sst>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202020"/>
      <name val="Arial"/>
      <family val="2"/>
    </font>
    <font>
      <sz val="8"/>
      <name val="Aptos Narrow"/>
      <family val="2"/>
      <scheme val="minor"/>
    </font>
    <font>
      <b/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b/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2" fontId="1" fillId="0" borderId="0" xfId="0" applyNumberFormat="1" applyFont="1"/>
    <xf numFmtId="2" fontId="2" fillId="3" borderId="0" xfId="0" applyNumberFormat="1" applyFont="1" applyFill="1"/>
    <xf numFmtId="3" fontId="6" fillId="0" borderId="0" xfId="0" applyNumberFormat="1" applyFont="1"/>
    <xf numFmtId="0" fontId="6" fillId="0" borderId="0" xfId="0" applyFont="1"/>
    <xf numFmtId="0" fontId="2" fillId="4" borderId="0" xfId="0" applyFont="1" applyFill="1"/>
    <xf numFmtId="0" fontId="1" fillId="2" borderId="0" xfId="0" applyFont="1" applyFill="1"/>
    <xf numFmtId="2" fontId="6" fillId="0" borderId="0" xfId="0" applyNumberFormat="1" applyFont="1"/>
    <xf numFmtId="2" fontId="4" fillId="0" borderId="0" xfId="0" applyNumberFormat="1" applyFont="1"/>
    <xf numFmtId="1" fontId="2" fillId="0" borderId="0" xfId="0" applyNumberFormat="1" applyFont="1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2" fontId="8" fillId="0" borderId="0" xfId="0" applyNumberFormat="1" applyFont="1"/>
    <xf numFmtId="0" fontId="6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07E6-B202-CD4B-B12D-65E8E0569BB6}">
  <dimension ref="A1:O30"/>
  <sheetViews>
    <sheetView tabSelected="1" workbookViewId="0">
      <selection activeCell="J16" sqref="J16"/>
    </sheetView>
  </sheetViews>
  <sheetFormatPr baseColWidth="10" defaultRowHeight="16" x14ac:dyDescent="0.2"/>
  <cols>
    <col min="1" max="1" width="31.1640625" style="2" bestFit="1" customWidth="1"/>
    <col min="2" max="2" width="24" style="2" bestFit="1" customWidth="1"/>
    <col min="3" max="3" width="31.5" style="2" bestFit="1" customWidth="1"/>
    <col min="4" max="4" width="18.1640625" style="2" bestFit="1" customWidth="1"/>
    <col min="5" max="5" width="11.6640625" style="2" bestFit="1" customWidth="1"/>
    <col min="6" max="6" width="6.83203125" style="2" bestFit="1" customWidth="1"/>
    <col min="7" max="7" width="21.1640625" style="2" bestFit="1" customWidth="1"/>
    <col min="8" max="8" width="9.1640625" style="3" bestFit="1" customWidth="1"/>
    <col min="9" max="9" width="20.5" style="3" bestFit="1" customWidth="1"/>
    <col min="10" max="10" width="20.5" style="24" customWidth="1"/>
    <col min="11" max="11" width="16.33203125" style="2" bestFit="1" customWidth="1"/>
    <col min="12" max="12" width="14" style="2" customWidth="1"/>
    <col min="13" max="13" width="10.83203125" style="2"/>
    <col min="14" max="14" width="67.1640625" style="2" bestFit="1" customWidth="1"/>
    <col min="15" max="16384" width="10.83203125" style="2"/>
  </cols>
  <sheetData>
    <row r="1" spans="1:15" x14ac:dyDescent="0.2">
      <c r="A1" s="1" t="s">
        <v>0</v>
      </c>
      <c r="B1" s="1"/>
      <c r="C1" s="1"/>
      <c r="D1" s="1"/>
    </row>
    <row r="2" spans="1:15" x14ac:dyDescent="0.2">
      <c r="A2" s="2" t="s">
        <v>1</v>
      </c>
      <c r="B2" s="15">
        <v>500</v>
      </c>
      <c r="F2" s="4"/>
    </row>
    <row r="3" spans="1:15" x14ac:dyDescent="0.2">
      <c r="A3" s="2" t="s">
        <v>2</v>
      </c>
      <c r="B3" s="15">
        <v>6</v>
      </c>
      <c r="F3" s="4"/>
    </row>
    <row r="5" spans="1:15" ht="23" x14ac:dyDescent="0.25">
      <c r="A5" s="21" t="s">
        <v>3</v>
      </c>
      <c r="B5" s="1"/>
      <c r="C5" s="1"/>
      <c r="D5" s="1"/>
    </row>
    <row r="6" spans="1:15" x14ac:dyDescent="0.2">
      <c r="A6" s="1" t="s">
        <v>4</v>
      </c>
      <c r="B6" s="1" t="s">
        <v>42</v>
      </c>
      <c r="C6" s="1" t="s">
        <v>43</v>
      </c>
      <c r="D6" s="1" t="s">
        <v>51</v>
      </c>
      <c r="E6" s="1" t="s">
        <v>6</v>
      </c>
      <c r="F6" s="10" t="s">
        <v>7</v>
      </c>
      <c r="G6" s="10" t="s">
        <v>5</v>
      </c>
      <c r="H6" s="5" t="s">
        <v>55</v>
      </c>
      <c r="I6" s="5" t="s">
        <v>8</v>
      </c>
      <c r="J6" s="25" t="s">
        <v>35</v>
      </c>
      <c r="K6" s="1" t="s">
        <v>17</v>
      </c>
      <c r="L6" s="1" t="s">
        <v>20</v>
      </c>
      <c r="M6" s="1" t="s">
        <v>22</v>
      </c>
      <c r="N6" s="1" t="s">
        <v>41</v>
      </c>
      <c r="O6" s="2" t="s">
        <v>36</v>
      </c>
    </row>
    <row r="7" spans="1:15" x14ac:dyDescent="0.2">
      <c r="A7" s="17" t="s">
        <v>19</v>
      </c>
      <c r="B7" s="22" t="s">
        <v>56</v>
      </c>
      <c r="C7" s="22" t="s">
        <v>44</v>
      </c>
      <c r="D7" s="22" t="s">
        <v>53</v>
      </c>
      <c r="E7" s="3">
        <v>786.11</v>
      </c>
      <c r="F7" s="15"/>
      <c r="G7" s="15">
        <v>25</v>
      </c>
      <c r="H7" s="3">
        <f>($B$2/1000000)*$B$3*F7/100*E7</f>
        <v>0</v>
      </c>
      <c r="I7" s="6">
        <f>IF(G7,H7/G7*1000, "")</f>
        <v>0</v>
      </c>
      <c r="J7" s="26">
        <v>-17</v>
      </c>
      <c r="K7" s="2" t="s">
        <v>16</v>
      </c>
      <c r="L7" s="9" t="s">
        <v>21</v>
      </c>
      <c r="M7" s="2" t="s">
        <v>23</v>
      </c>
      <c r="N7" s="8" t="s">
        <v>28</v>
      </c>
    </row>
    <row r="8" spans="1:15" x14ac:dyDescent="0.2">
      <c r="A8" s="17" t="s">
        <v>26</v>
      </c>
      <c r="B8" s="22" t="s">
        <v>56</v>
      </c>
      <c r="C8" s="22" t="s">
        <v>44</v>
      </c>
      <c r="D8" s="22" t="s">
        <v>52</v>
      </c>
      <c r="E8" s="3">
        <v>734.03899999999999</v>
      </c>
      <c r="F8" s="15"/>
      <c r="G8" s="15"/>
      <c r="H8" s="3">
        <f>($B$2/1000000)*$B$3*F8/100*E8</f>
        <v>0</v>
      </c>
      <c r="I8" s="6" t="str">
        <f>IF(G8,H8/G8*1000, "")</f>
        <v/>
      </c>
      <c r="J8" s="27">
        <v>41</v>
      </c>
      <c r="K8" s="2" t="s">
        <v>16</v>
      </c>
      <c r="M8" s="2" t="s">
        <v>23</v>
      </c>
      <c r="N8" s="8" t="s">
        <v>27</v>
      </c>
    </row>
    <row r="9" spans="1:15" x14ac:dyDescent="0.2">
      <c r="A9" s="17" t="s">
        <v>31</v>
      </c>
      <c r="B9" s="22" t="s">
        <v>56</v>
      </c>
      <c r="C9" s="22" t="s">
        <v>45</v>
      </c>
      <c r="D9" s="22" t="s">
        <v>53</v>
      </c>
      <c r="E9" s="7">
        <v>744.03399999999999</v>
      </c>
      <c r="F9" s="15"/>
      <c r="G9" s="15">
        <v>25</v>
      </c>
      <c r="H9" s="3">
        <f>($B$2/1000000)*$B$3*F9/100*E9</f>
        <v>0</v>
      </c>
      <c r="I9" s="6">
        <f>IF(G9,H9/G9*1000, "")</f>
        <v>0</v>
      </c>
      <c r="J9" s="28">
        <v>-16</v>
      </c>
      <c r="K9" s="2" t="s">
        <v>16</v>
      </c>
      <c r="L9" s="9" t="s">
        <v>21</v>
      </c>
      <c r="M9" s="2" t="s">
        <v>23</v>
      </c>
      <c r="N9" s="8" t="s">
        <v>28</v>
      </c>
    </row>
    <row r="10" spans="1:15" x14ac:dyDescent="0.2">
      <c r="A10" s="17" t="s">
        <v>24</v>
      </c>
      <c r="B10" s="22" t="s">
        <v>56</v>
      </c>
      <c r="C10" s="22" t="s">
        <v>49</v>
      </c>
      <c r="D10" s="22" t="s">
        <v>49</v>
      </c>
      <c r="E10" s="11">
        <v>386.654</v>
      </c>
      <c r="F10" s="15"/>
      <c r="G10" s="15">
        <v>25</v>
      </c>
      <c r="H10" s="3">
        <f>($B$2/1000000)*$B$3*F10/100*E10</f>
        <v>0</v>
      </c>
      <c r="I10" s="6">
        <f>IF(G10,H10/G10*1000, "")</f>
        <v>0</v>
      </c>
      <c r="J10" s="27">
        <v>39</v>
      </c>
      <c r="K10" s="2" t="s">
        <v>16</v>
      </c>
      <c r="L10" s="1"/>
      <c r="M10" s="2" t="s">
        <v>23</v>
      </c>
      <c r="N10" s="8" t="s">
        <v>25</v>
      </c>
      <c r="O10" s="2" t="s">
        <v>40</v>
      </c>
    </row>
    <row r="11" spans="1:15" x14ac:dyDescent="0.2">
      <c r="A11" s="18" t="s">
        <v>32</v>
      </c>
      <c r="B11" s="22" t="s">
        <v>57</v>
      </c>
      <c r="C11" s="22" t="s">
        <v>47</v>
      </c>
      <c r="D11" s="22" t="s">
        <v>53</v>
      </c>
      <c r="E11" s="7">
        <v>880.13699999999994</v>
      </c>
      <c r="F11" s="15"/>
      <c r="G11" s="15">
        <v>1</v>
      </c>
      <c r="H11" s="3">
        <f>($B$2/1000000)*$B$3*F11/100*E11</f>
        <v>0</v>
      </c>
      <c r="I11" s="6">
        <f>IF(G11,H11/G11*1000, "")</f>
        <v>0</v>
      </c>
      <c r="J11" s="26"/>
      <c r="K11" s="2" t="s">
        <v>63</v>
      </c>
      <c r="L11" s="9" t="s">
        <v>21</v>
      </c>
      <c r="M11" s="2" t="s">
        <v>23</v>
      </c>
      <c r="N11" s="8"/>
    </row>
    <row r="12" spans="1:15" x14ac:dyDescent="0.2">
      <c r="A12" s="19" t="s">
        <v>29</v>
      </c>
      <c r="B12" s="22" t="s">
        <v>57</v>
      </c>
      <c r="C12" s="22" t="s">
        <v>46</v>
      </c>
      <c r="D12" s="22" t="s">
        <v>53</v>
      </c>
      <c r="E12" s="12">
        <v>810.03</v>
      </c>
      <c r="F12" s="15"/>
      <c r="G12" s="15">
        <v>25</v>
      </c>
      <c r="H12" s="3">
        <f>($B$2/1000000)*$B$3*F12/100*E12</f>
        <v>0</v>
      </c>
      <c r="I12" s="6">
        <f>IF(G12,H12/G12*1000, "")</f>
        <v>0</v>
      </c>
      <c r="J12" s="26">
        <v>-10</v>
      </c>
      <c r="K12" s="2" t="s">
        <v>16</v>
      </c>
      <c r="L12" s="9" t="s">
        <v>21</v>
      </c>
      <c r="M12" s="2" t="s">
        <v>23</v>
      </c>
      <c r="N12" s="8" t="s">
        <v>28</v>
      </c>
    </row>
    <row r="13" spans="1:15" x14ac:dyDescent="0.2">
      <c r="A13" s="18" t="s">
        <v>30</v>
      </c>
      <c r="B13" s="22" t="s">
        <v>58</v>
      </c>
      <c r="C13" s="22" t="s">
        <v>50</v>
      </c>
      <c r="D13" s="22" t="s">
        <v>53</v>
      </c>
      <c r="E13" s="12">
        <v>1016.395</v>
      </c>
      <c r="F13" s="15"/>
      <c r="G13" s="15">
        <v>5</v>
      </c>
      <c r="H13" s="3">
        <f>($B$2/1000000)*$B$3*F13/100*E13</f>
        <v>0</v>
      </c>
      <c r="I13" s="6">
        <f>IF(G13,H13/G13*1000, "")</f>
        <v>0</v>
      </c>
      <c r="J13" s="26"/>
      <c r="K13" s="2" t="s">
        <v>60</v>
      </c>
      <c r="L13" s="9" t="s">
        <v>21</v>
      </c>
      <c r="M13" s="2" t="s">
        <v>23</v>
      </c>
      <c r="N13" s="8"/>
    </row>
    <row r="14" spans="1:15" x14ac:dyDescent="0.2">
      <c r="A14" s="18" t="s">
        <v>34</v>
      </c>
      <c r="B14" s="22" t="s">
        <v>58</v>
      </c>
      <c r="C14" s="22" t="s">
        <v>50</v>
      </c>
      <c r="D14" s="22" t="s">
        <v>54</v>
      </c>
      <c r="E14" s="12">
        <v>620.98599999999999</v>
      </c>
      <c r="F14" s="15"/>
      <c r="G14" s="15">
        <v>5</v>
      </c>
      <c r="H14" s="3">
        <f>($B$2/1000000)*$B$3*F14/100*E14</f>
        <v>0</v>
      </c>
      <c r="I14" s="6">
        <f>IF(G14,H14/G14*1000, "")</f>
        <v>0</v>
      </c>
      <c r="J14" s="26"/>
      <c r="K14" s="2" t="s">
        <v>61</v>
      </c>
      <c r="M14" s="2" t="s">
        <v>23</v>
      </c>
      <c r="N14" s="20" t="s">
        <v>39</v>
      </c>
    </row>
    <row r="15" spans="1:15" x14ac:dyDescent="0.2">
      <c r="A15" s="17" t="s">
        <v>33</v>
      </c>
      <c r="B15" s="22" t="s">
        <v>58</v>
      </c>
      <c r="C15" s="22" t="s">
        <v>48</v>
      </c>
      <c r="D15" s="22" t="s">
        <v>53</v>
      </c>
      <c r="E15" s="12">
        <v>813.22500000000002</v>
      </c>
      <c r="F15" s="15"/>
      <c r="G15" s="15">
        <v>5</v>
      </c>
      <c r="H15" s="3">
        <f>($B$2/1000000)*$B$3*F15/100*E15</f>
        <v>0</v>
      </c>
      <c r="I15" s="6">
        <f>IF(G15,H15/G15*1000, "")</f>
        <v>0</v>
      </c>
      <c r="J15" s="26"/>
      <c r="K15" s="2" t="s">
        <v>62</v>
      </c>
      <c r="L15" s="9" t="s">
        <v>21</v>
      </c>
      <c r="M15" s="2" t="s">
        <v>23</v>
      </c>
      <c r="N15" s="8"/>
    </row>
    <row r="16" spans="1:15" x14ac:dyDescent="0.2">
      <c r="A16" s="18" t="s">
        <v>64</v>
      </c>
      <c r="B16" s="22" t="s">
        <v>58</v>
      </c>
      <c r="C16" s="22" t="s">
        <v>48</v>
      </c>
      <c r="D16" s="22" t="s">
        <v>54</v>
      </c>
      <c r="E16" s="12">
        <v>537.90099999999995</v>
      </c>
      <c r="F16" s="15"/>
      <c r="G16" s="15">
        <v>5</v>
      </c>
      <c r="H16" s="3">
        <f>($B$2/1000000)*$B$3*F16/100*E16</f>
        <v>0</v>
      </c>
      <c r="I16" s="6">
        <f>IF(G16,H16/G16*1000, "")</f>
        <v>0</v>
      </c>
      <c r="J16" s="29" t="s">
        <v>67</v>
      </c>
      <c r="K16" s="2" t="s">
        <v>16</v>
      </c>
      <c r="M16" s="2" t="s">
        <v>23</v>
      </c>
      <c r="N16" s="22" t="s">
        <v>65</v>
      </c>
      <c r="O16" s="23" t="s">
        <v>66</v>
      </c>
    </row>
    <row r="17" spans="1:14" x14ac:dyDescent="0.2">
      <c r="A17" s="18" t="s">
        <v>9</v>
      </c>
      <c r="B17" s="22" t="s">
        <v>59</v>
      </c>
      <c r="C17" s="22" t="s">
        <v>45</v>
      </c>
      <c r="D17" s="22" t="s">
        <v>53</v>
      </c>
      <c r="E17" s="12">
        <v>1264</v>
      </c>
      <c r="F17" s="15"/>
      <c r="G17" s="15">
        <v>1</v>
      </c>
      <c r="H17" s="3">
        <f>($B$2/1000000)*$B$3*F17/100*E17</f>
        <v>0</v>
      </c>
      <c r="I17" s="6">
        <f>IF(G17,H17/G17*1000, "")</f>
        <v>0</v>
      </c>
      <c r="J17" s="26"/>
      <c r="K17" s="2" t="s">
        <v>16</v>
      </c>
      <c r="M17" s="2" t="s">
        <v>23</v>
      </c>
    </row>
    <row r="18" spans="1:14" x14ac:dyDescent="0.2">
      <c r="A18" s="19" t="s">
        <v>18</v>
      </c>
      <c r="B18" s="22" t="s">
        <v>59</v>
      </c>
      <c r="C18" s="22" t="s">
        <v>45</v>
      </c>
      <c r="D18" s="22" t="s">
        <v>53</v>
      </c>
      <c r="E18" s="12">
        <v>1301.7149999999999</v>
      </c>
      <c r="F18" s="15"/>
      <c r="G18" s="15">
        <v>1</v>
      </c>
      <c r="H18" s="3">
        <f>($B$2/1000000)*$B$3*F18/100*E18</f>
        <v>0</v>
      </c>
      <c r="I18" s="6">
        <f>IF(G18,H18/G18*1000, "")</f>
        <v>0</v>
      </c>
      <c r="J18" s="26"/>
      <c r="K18" s="2" t="s">
        <v>16</v>
      </c>
      <c r="M18" s="2" t="s">
        <v>23</v>
      </c>
    </row>
    <row r="19" spans="1:14" x14ac:dyDescent="0.2">
      <c r="E19" s="12"/>
      <c r="F19" s="14"/>
      <c r="G19" s="14"/>
      <c r="I19" s="3" t="str">
        <f t="shared" ref="I19" si="0">IF(G19,H19/G19*1000, "")</f>
        <v/>
      </c>
      <c r="N19" s="8"/>
    </row>
    <row r="20" spans="1:14" x14ac:dyDescent="0.2">
      <c r="E20" s="3"/>
    </row>
    <row r="21" spans="1:14" x14ac:dyDescent="0.2">
      <c r="A21" s="1" t="s">
        <v>10</v>
      </c>
      <c r="B21" s="1"/>
      <c r="C21" s="1"/>
      <c r="D21" s="1"/>
      <c r="E21" s="3"/>
    </row>
    <row r="22" spans="1:14" x14ac:dyDescent="0.2">
      <c r="A22" s="2" t="s">
        <v>11</v>
      </c>
      <c r="B22" s="3">
        <f>SUM(I7:I19)</f>
        <v>0</v>
      </c>
    </row>
    <row r="23" spans="1:14" x14ac:dyDescent="0.2">
      <c r="A23" s="2" t="s">
        <v>12</v>
      </c>
      <c r="B23" s="6">
        <f>B2-B22</f>
        <v>500</v>
      </c>
      <c r="G23" s="7"/>
      <c r="H23" s="5"/>
      <c r="I23" s="5"/>
      <c r="J23" s="30"/>
    </row>
    <row r="24" spans="1:14" x14ac:dyDescent="0.2">
      <c r="B24" s="3"/>
    </row>
    <row r="25" spans="1:14" x14ac:dyDescent="0.2">
      <c r="A25" s="1" t="s">
        <v>13</v>
      </c>
      <c r="B25" s="3"/>
      <c r="D25" s="1"/>
    </row>
    <row r="26" spans="1:14" x14ac:dyDescent="0.2">
      <c r="A26" s="2" t="s">
        <v>14</v>
      </c>
      <c r="B26" s="13">
        <f>SUM(F7:F19)</f>
        <v>0</v>
      </c>
      <c r="C26" s="2" t="str">
        <f>IF(B26=100, "okay", "check ;Mol %")</f>
        <v>check ;Mol %</v>
      </c>
    </row>
    <row r="27" spans="1:14" x14ac:dyDescent="0.2">
      <c r="A27" s="2" t="s">
        <v>15</v>
      </c>
      <c r="B27" s="13">
        <f>SUM(I7:I19)+B23</f>
        <v>500</v>
      </c>
      <c r="C27" s="2" t="str">
        <f>IF(B27=B2, "okay", "check calculation")</f>
        <v>okay</v>
      </c>
      <c r="H27" s="16"/>
    </row>
    <row r="29" spans="1:14" x14ac:dyDescent="0.2">
      <c r="A29" s="2" t="s">
        <v>37</v>
      </c>
      <c r="B29" s="3">
        <f>SUM(H7:H19)</f>
        <v>0</v>
      </c>
    </row>
    <row r="30" spans="1:14" x14ac:dyDescent="0.2">
      <c r="A30" s="2" t="s">
        <v>38</v>
      </c>
      <c r="B30" s="2">
        <f>B29/(B2/1000)</f>
        <v>0</v>
      </c>
    </row>
  </sheetData>
  <sheetProtection selectLockedCells="1"/>
  <sortState xmlns:xlrd2="http://schemas.microsoft.com/office/spreadsheetml/2017/richdata2" ref="A7:O18">
    <sortCondition ref="B7:B18"/>
    <sortCondition ref="C7:C18"/>
  </sortState>
  <phoneticPr fontId="7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Böhm</dc:creator>
  <cp:lastModifiedBy>Heike Böhm</cp:lastModifiedBy>
  <dcterms:created xsi:type="dcterms:W3CDTF">2024-11-22T11:41:00Z</dcterms:created>
  <dcterms:modified xsi:type="dcterms:W3CDTF">2025-06-14T12:54:31Z</dcterms:modified>
</cp:coreProperties>
</file>